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ΣΤΕΓΑΣΗ" sheetId="1" r:id="rId1"/>
  </sheets>
  <definedNames>
    <definedName name="_xlnm._FilterDatabase" localSheetId="0" hidden="1">'ΣΤΕΓΑΣΗ'!$A$3:$CN$119</definedName>
    <definedName name="_xlnm.Print_Area" localSheetId="0">'ΣΤΕΓΑΣΗ'!$B$1:$AH$157</definedName>
    <definedName name="_xlnm.Print_Titles" localSheetId="0">'ΣΤΕΓΑΣΗ'!$3:$3</definedName>
  </definedNames>
  <calcPr fullCalcOnLoad="1"/>
</workbook>
</file>

<file path=xl/sharedStrings.xml><?xml version="1.0" encoding="utf-8"?>
<sst xmlns="http://schemas.openxmlformats.org/spreadsheetml/2006/main" count="187" uniqueCount="44">
  <si>
    <t>Α/Α</t>
  </si>
  <si>
    <t>ΤΜΗΜΑ</t>
  </si>
  <si>
    <t>ΠΙΣΤΟΠΟΙΗΤΙΚΟ ΟΙΚΟΓΕΝΕΙΑΚΗΣ ΚΑΤΑΣΤΑΣΗΣ</t>
  </si>
  <si>
    <t>ΤΡΙΤΕΚΝΟΙ</t>
  </si>
  <si>
    <t>ΒΕΒΑΙΩΣΗ ΣΠΟΥΔΩΝ</t>
  </si>
  <si>
    <t>ΕΞΑΜΗΝΟ</t>
  </si>
  <si>
    <t>ΕΚΚΑΘΑΡΙΣΤΙΚΟ ΣΗΜΕΙΩΜΑ ΤΟΥ ΤΡΕΧΟΝΤΟΣ ΕΤΟΥΣ (2012) ή Ε1 ΣΕ ΠΕΡΙΠΤΩΣΗ ΠΟΥ ΔΕΝ ΥΠΑΡΧΕΙ ΤΟ ΕΚΚΑΘ. ΓΙΑ ΤΟ ΟΙΚ.ΕΙΣΟΔΗΜΑ ΤΩΝ ΓΟΝΙΩΝ &amp; ΤΟ ΑΝΤΙΣΤΟΙΧΟ ΕΚΚ.ΣΗΜ. ΕΦΟΣΟΝ ΥΠΟΒΑΛΛΟΥΝ ΟΙ ΙΔΙΟΙ ΦΟΡ.ΔΗΛΩΣΗ</t>
  </si>
  <si>
    <t>ΑΔΕΛΦΟΣ/Η ΦΟΙΤΗΤΗΣ/ΤΡΙΑ (0 υπότροφο) ή ΣΤΡΑΤΙΩΤΗΣ, =&gt; ΒΕΒΑΙΩΣΗ ΤΜΗΜΑΤΟΣ Ή ΒΕΒ. ΌΤΙ ΥΠΗΡΕΤΕΙ ΤΗΝ ΣΤΡΑΤ.ΘΗΤΕΙΑ</t>
  </si>
  <si>
    <t>Ελεύθεροι επαγγελματίες &amp; Λοιπά εισοδήματα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</si>
  <si>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</si>
  <si>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</si>
  <si>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</si>
  <si>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</si>
  <si>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</si>
  <si>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</si>
  <si>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t>ΤΕΚΜΑΡΤΟ ΕΙΣΟΔΗΜΑ</t>
  </si>
  <si>
    <t xml:space="preserve">ΣΥΝΟΛΙΚΟ ΕΙΣΟΔΗΜΑ </t>
  </si>
  <si>
    <t>Διδακτικές μονάδες που έχει συμπληρώσει</t>
  </si>
  <si>
    <t>Α.Μ.</t>
  </si>
  <si>
    <t>Εισόδημα αγροτών  (ΜΕΙΩΣΗ 15%)</t>
  </si>
  <si>
    <t>Εισόδημα από Μισθωτές Υπηρεσίες Γονέων (Δημόσιο και ιδιωτικό τομέα και συνταξιούχων &amp; ταμείο ανεργίας) (ΜEIΩΣΗ 50%)</t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</si>
  <si>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τέκνα)</t>
    </r>
  </si>
  <si>
    <t>ΦΩΤΟΤΥΠΙΑ ΑΣΤΥΝΟΜΙΚΗΣ ΤΑΥΤΟΤΗΤΑΣ ΕΠΙΚΥΡΩΜΕΝΗ ή ΠΙΣΤΟΠΟΙΗΤΙΚΟ ΓΕΝΝΗΣΗΣ ΑΠΟ ΤΟΝ ΟΙΚΕΙΟ ΔΗΜΟ</t>
  </si>
  <si>
    <t>ΠΟΛΥΤΕΚΝΟΙ (ΠΙΣΤΟΠΟΙΗΤΙΚΟ ΠΟΛΥΤΕΚΝΙΑΣ ΑΠΟ ΤΗΝ ΑΝΩΤΑΤΗ ΣΥΝΟΜΟΣΠΟΝΔΙΑ ΠΟΛΥΤΕΚΝΩΝ)</t>
  </si>
  <si>
    <t>ΜΠ</t>
  </si>
  <si>
    <t>ΛΠΜ</t>
  </si>
  <si>
    <t>ΤΓ</t>
  </si>
  <si>
    <t>ΒΕΒΑΙΩΣΗ ΑΝΕΡΓΙΑΣ ΑΠΟ ΤΟΝ ΟΑΕΔ</t>
  </si>
  <si>
    <t>εκπρόθεσμη</t>
  </si>
  <si>
    <t>ΑΠΟΡΡΙΦΘΕΝΤΕΣ ΛΟΓΩ ΧΑΜΗΛΗΣ ΒΑΘΜΟΛΟΓΙΑΣ&lt;20 Διδακτικές Μονάδες</t>
  </si>
  <si>
    <t>ΗΜΕΡΟΜΗΝΙΑ ΑΙΤΗΣΗΣ</t>
  </si>
  <si>
    <t>ΠΑΡΑΤΗΡΗΣΕΙΣ</t>
  </si>
  <si>
    <t>ΑΠΟΡΡΙΦΘΕΝΤΕΣ ΛΟΓΩ ΥΠΕΡΒΑΣΗΣ ΕΙΣΟΔΗΜΑΤΟΣ&gt;30.000 Ετήσιο οικογενειακό + 3.000 για κάθε προστατευόμενο τέκνο πέραν του ενός</t>
  </si>
  <si>
    <t>ΑΠΟΡΡΙΦΘΕΝΤΕΣ ΛΟΓΩ ΥΠΕΡΒΑΣΗΣ ΟΡΙΟΥ ΕΞΑΜΗΝΩΝ&gt;10ου ή κατάθεσης αίτησης για πτυχίο</t>
  </si>
  <si>
    <t>Έχει κάνει αίτηση για πτυχίο, έχει περάσει όλα τα μαθήματα</t>
  </si>
  <si>
    <t>ΛΟΓΟΙ ΥΓΕΙΑΣ Ή ΑΝΑΠΗΡΙΑΣ Γονέων (ΒΕΒΑΙΩΣΗ ΑΠΌ ΑΡΜΟΔΙΑ ΔΗΜΟΣΙΑ ΥΓΕΙΟΝΟΜΙΚΗ ΕΠΙΤΡΟΠΗ (Α΄ή Β βαθμια - αν ισχύουν δίνετε τιμή 1)</t>
  </si>
  <si>
    <t xml:space="preserve">ΚΑΤΑΣΤΑΣΗ ΑΞΙΟΛΟΓΗΣΗΣ ΑΙΤΗΣΕΩΝ ΣΤΕΓΑΣΗΣ Φοιτητών  Παλαιών Εξ. πρώην ΤΕΙ ΗΠΕΙΡΟΥ ΣΤΗΝ ΑΡΤΑ  ΑΚΑΔΗΜΑΪΚΟΥ ΕΤΟΥΣ 2018-2019 </t>
  </si>
  <si>
    <t>ΕΙΣΑΚΤΕΟΙ</t>
  </si>
  <si>
    <t>δεν έχει υποβάλλει δικαιολογητικά</t>
  </si>
  <si>
    <t>Εκπτώσεις από σπουδές ή στρατ. Θητεία Αδερφών στο κατακεφαλή εισόδημα  (30%)</t>
  </si>
  <si>
    <t>Εκπτώσεις από ορφανός από 1 γονέα στο κατακεφαλή εισόδημα (20%)</t>
  </si>
  <si>
    <t>Εκπτώσεις από μονογονεική κατακεφαλή εισόδημα  (10%)</t>
  </si>
  <si>
    <t>Εκπτώσεις από αναπηρία γονέων &gt; 67% στο κατακεφαλή εισόδημα  (30%)</t>
  </si>
  <si>
    <t>Εκπτώσεις από άνεργο στο κατακεφαλή εισόδημα (30%)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</si>
</sst>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  <numFmt numFmtId="170" formatCode="[$-408]dddd\,\ d\ mmmm\ yyyy"/>
    <numFmt numFmtId="171" formatCode="[$-408]h:mm:ss\ AM/PM"/>
    <numFmt numFmtId="172" formatCode="#,##0.000\ &quot;€&quot;"/>
    <numFmt numFmtId="173" formatCode="#,##0.0000\ &quot;€&quot;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22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22"/>
      <name val="Arial"/>
      <family val="2"/>
    </font>
    <font>
      <b/>
      <sz val="14"/>
      <color indexed="14"/>
      <name val="Arial"/>
      <family val="2"/>
    </font>
    <font>
      <sz val="14"/>
      <color indexed="14"/>
      <name val="Arial"/>
      <family val="2"/>
    </font>
    <font>
      <b/>
      <sz val="14"/>
      <color indexed="17"/>
      <name val="Arial"/>
      <family val="0"/>
    </font>
    <font>
      <sz val="14"/>
      <color indexed="1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8" borderId="1" applyNumberFormat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35" borderId="1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34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36" borderId="0" xfId="0" applyFont="1" applyFill="1" applyAlignment="1">
      <alignment/>
    </xf>
    <xf numFmtId="0" fontId="13" fillId="34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35" borderId="10" xfId="0" applyFont="1" applyFill="1" applyBorder="1" applyAlignment="1">
      <alignment horizontal="center"/>
    </xf>
    <xf numFmtId="0" fontId="56" fillId="35" borderId="0" xfId="0" applyFont="1" applyFill="1" applyAlignment="1">
      <alignment/>
    </xf>
    <xf numFmtId="0" fontId="57" fillId="35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7" fillId="0" borderId="12" xfId="0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165" fontId="7" fillId="0" borderId="12" xfId="0" applyNumberFormat="1" applyFont="1" applyFill="1" applyBorder="1" applyAlignment="1">
      <alignment wrapText="1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textRotation="90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4" borderId="13" xfId="0" applyFont="1" applyFill="1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4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165" fontId="7" fillId="0" borderId="12" xfId="0" applyNumberFormat="1" applyFont="1" applyFill="1" applyBorder="1" applyAlignment="1">
      <alignment horizontal="right" wrapText="1"/>
    </xf>
    <xf numFmtId="14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Border="1" applyAlignment="1">
      <alignment horizontal="center" wrapText="1"/>
    </xf>
    <xf numFmtId="165" fontId="7" fillId="0" borderId="12" xfId="0" applyNumberFormat="1" applyFont="1" applyBorder="1" applyAlignment="1">
      <alignment wrapText="1"/>
    </xf>
    <xf numFmtId="165" fontId="7" fillId="0" borderId="12" xfId="0" applyNumberFormat="1" applyFont="1" applyBorder="1" applyAlignment="1">
      <alignment horizontal="right" wrapText="1"/>
    </xf>
    <xf numFmtId="14" fontId="7" fillId="0" borderId="12" xfId="0" applyNumberFormat="1" applyFont="1" applyBorder="1" applyAlignment="1">
      <alignment horizontal="center"/>
    </xf>
    <xf numFmtId="165" fontId="7" fillId="0" borderId="12" xfId="0" applyNumberFormat="1" applyFont="1" applyFill="1" applyBorder="1" applyAlignment="1">
      <alignment/>
    </xf>
    <xf numFmtId="164" fontId="15" fillId="0" borderId="12" xfId="0" applyNumberFormat="1" applyFont="1" applyFill="1" applyBorder="1" applyAlignment="1">
      <alignment wrapText="1"/>
    </xf>
    <xf numFmtId="165" fontId="7" fillId="0" borderId="12" xfId="0" applyNumberFormat="1" applyFont="1" applyBorder="1" applyAlignment="1">
      <alignment horizontal="right"/>
    </xf>
    <xf numFmtId="165" fontId="7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4" fontId="7" fillId="0" borderId="12" xfId="0" applyNumberFormat="1" applyFont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12" xfId="0" applyFont="1" applyBorder="1" applyAlignment="1" quotePrefix="1">
      <alignment horizontal="center"/>
    </xf>
    <xf numFmtId="0" fontId="5" fillId="33" borderId="13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4" fontId="15" fillId="0" borderId="12" xfId="0" applyNumberFormat="1" applyFont="1" applyFill="1" applyBorder="1" applyAlignment="1">
      <alignment/>
    </xf>
    <xf numFmtId="164" fontId="15" fillId="0" borderId="12" xfId="0" applyNumberFormat="1" applyFont="1" applyFill="1" applyBorder="1" applyAlignment="1">
      <alignment/>
    </xf>
    <xf numFmtId="4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Fill="1" applyBorder="1" applyAlignment="1">
      <alignment/>
    </xf>
    <xf numFmtId="4" fontId="15" fillId="0" borderId="12" xfId="0" applyNumberFormat="1" applyFont="1" applyBorder="1" applyAlignment="1">
      <alignment wrapText="1"/>
    </xf>
    <xf numFmtId="164" fontId="15" fillId="0" borderId="12" xfId="0" applyNumberFormat="1" applyFont="1" applyBorder="1" applyAlignment="1">
      <alignment wrapText="1"/>
    </xf>
    <xf numFmtId="0" fontId="15" fillId="0" borderId="0" xfId="0" applyFont="1" applyAlignment="1">
      <alignment/>
    </xf>
    <xf numFmtId="3" fontId="15" fillId="0" borderId="12" xfId="0" applyNumberFormat="1" applyFont="1" applyFill="1" applyBorder="1" applyAlignment="1">
      <alignment wrapText="1"/>
    </xf>
    <xf numFmtId="0" fontId="8" fillId="33" borderId="14" xfId="0" applyFont="1" applyFill="1" applyBorder="1" applyAlignment="1">
      <alignment horizontal="center" textRotation="90" wrapText="1"/>
    </xf>
    <xf numFmtId="0" fontId="14" fillId="37" borderId="12" xfId="0" applyFont="1" applyFill="1" applyBorder="1" applyAlignment="1">
      <alignment horizontal="center" vertical="center" textRotation="90" wrapText="1"/>
    </xf>
    <xf numFmtId="0" fontId="58" fillId="0" borderId="12" xfId="0" applyFont="1" applyBorder="1" applyAlignment="1">
      <alignment/>
    </xf>
    <xf numFmtId="0" fontId="59" fillId="0" borderId="12" xfId="0" applyFont="1" applyBorder="1" applyAlignment="1">
      <alignment horizontal="center"/>
    </xf>
    <xf numFmtId="164" fontId="58" fillId="0" borderId="12" xfId="0" applyNumberFormat="1" applyFont="1" applyFill="1" applyBorder="1" applyAlignment="1">
      <alignment/>
    </xf>
    <xf numFmtId="164" fontId="58" fillId="0" borderId="12" xfId="0" applyNumberFormat="1" applyFont="1" applyFill="1" applyBorder="1" applyAlignment="1">
      <alignment wrapText="1"/>
    </xf>
    <xf numFmtId="0" fontId="7" fillId="0" borderId="12" xfId="0" applyNumberFormat="1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 wrapText="1"/>
    </xf>
    <xf numFmtId="4" fontId="58" fillId="0" borderId="12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14" fontId="7" fillId="0" borderId="15" xfId="0" applyNumberFormat="1" applyFont="1" applyBorder="1" applyAlignment="1">
      <alignment horizontal="center" wrapText="1"/>
    </xf>
    <xf numFmtId="165" fontId="7" fillId="0" borderId="15" xfId="0" applyNumberFormat="1" applyFont="1" applyBorder="1" applyAlignment="1">
      <alignment wrapText="1"/>
    </xf>
    <xf numFmtId="4" fontId="15" fillId="0" borderId="16" xfId="0" applyNumberFormat="1" applyFont="1" applyBorder="1" applyAlignment="1">
      <alignment/>
    </xf>
    <xf numFmtId="4" fontId="58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center" textRotation="90" wrapText="1"/>
    </xf>
    <xf numFmtId="0" fontId="8" fillId="34" borderId="0" xfId="0" applyFont="1" applyFill="1" applyBorder="1" applyAlignment="1">
      <alignment horizontal="center" vertical="center" textRotation="90" wrapText="1"/>
    </xf>
    <xf numFmtId="0" fontId="8" fillId="33" borderId="0" xfId="0" applyFont="1" applyFill="1" applyBorder="1" applyAlignment="1">
      <alignment horizontal="center" textRotation="90" wrapText="1"/>
    </xf>
    <xf numFmtId="4" fontId="17" fillId="0" borderId="12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33" borderId="17" xfId="0" applyFont="1" applyFill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08"/>
  <sheetViews>
    <sheetView tabSelected="1" view="pageBreakPreview" zoomScaleNormal="75" zoomScaleSheetLayoutView="100" zoomScalePageLayoutView="0" workbookViewId="0" topLeftCell="B1">
      <pane ySplit="3" topLeftCell="A4" activePane="bottomLeft" state="frozen"/>
      <selection pane="topLeft" activeCell="B1" sqref="B1"/>
      <selection pane="bottomLeft" activeCell="B1" sqref="B1:AH1"/>
    </sheetView>
  </sheetViews>
  <sheetFormatPr defaultColWidth="9.140625" defaultRowHeight="12.75"/>
  <cols>
    <col min="1" max="1" width="6.28125" style="1" hidden="1" customWidth="1"/>
    <col min="2" max="2" width="6.00390625" style="14" customWidth="1"/>
    <col min="3" max="3" width="9.140625" style="2" customWidth="1"/>
    <col min="4" max="4" width="9.140625" style="2" bestFit="1" customWidth="1"/>
    <col min="5" max="5" width="5.57421875" style="2" customWidth="1"/>
    <col min="6" max="6" width="17.57421875" style="2" customWidth="1"/>
    <col min="7" max="17" width="5.421875" style="2" customWidth="1"/>
    <col min="18" max="18" width="5.28125" style="2" customWidth="1"/>
    <col min="19" max="19" width="6.28125" style="2" customWidth="1"/>
    <col min="20" max="21" width="13.421875" style="2" customWidth="1"/>
    <col min="22" max="22" width="13.28125" style="2" customWidth="1"/>
    <col min="23" max="23" width="0.5625" style="2" hidden="1" customWidth="1"/>
    <col min="24" max="24" width="0.13671875" style="2" hidden="1" customWidth="1"/>
    <col min="25" max="25" width="15.7109375" style="2" hidden="1" customWidth="1"/>
    <col min="26" max="26" width="16.00390625" style="2" customWidth="1"/>
    <col min="27" max="32" width="13.421875" style="2" customWidth="1"/>
    <col min="33" max="33" width="12.8515625" style="2" customWidth="1"/>
    <col min="34" max="34" width="28.28125" style="74" customWidth="1"/>
    <col min="35" max="92" width="9.140625" style="4" customWidth="1"/>
    <col min="93" max="16384" width="9.140625" style="1" customWidth="1"/>
  </cols>
  <sheetData>
    <row r="1" spans="2:92" s="5" customFormat="1" ht="27.75" customHeight="1">
      <c r="B1" s="108" t="s">
        <v>36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3:33" ht="6.75" customHeight="1" thickBot="1">
      <c r="C2" s="69"/>
      <c r="AG2" s="34"/>
    </row>
    <row r="3" spans="1:34" ht="197.25" customHeight="1" thickTop="1">
      <c r="A3" s="8" t="s">
        <v>0</v>
      </c>
      <c r="B3" s="47" t="s">
        <v>0</v>
      </c>
      <c r="C3" s="48" t="s">
        <v>18</v>
      </c>
      <c r="D3" s="49" t="s">
        <v>1</v>
      </c>
      <c r="E3" s="49" t="s">
        <v>5</v>
      </c>
      <c r="F3" s="73" t="s">
        <v>30</v>
      </c>
      <c r="G3" s="50" t="s">
        <v>4</v>
      </c>
      <c r="H3" s="50" t="s">
        <v>6</v>
      </c>
      <c r="I3" s="50" t="s">
        <v>27</v>
      </c>
      <c r="J3" s="50" t="s">
        <v>2</v>
      </c>
      <c r="K3" s="50" t="s">
        <v>12</v>
      </c>
      <c r="L3" s="50" t="s">
        <v>21</v>
      </c>
      <c r="M3" s="50" t="s">
        <v>13</v>
      </c>
      <c r="N3" s="50" t="s">
        <v>22</v>
      </c>
      <c r="O3" s="50" t="s">
        <v>7</v>
      </c>
      <c r="P3" s="50" t="s">
        <v>23</v>
      </c>
      <c r="Q3" s="50" t="s">
        <v>3</v>
      </c>
      <c r="R3" s="50" t="s">
        <v>14</v>
      </c>
      <c r="S3" s="50" t="s">
        <v>35</v>
      </c>
      <c r="T3" s="50" t="s">
        <v>20</v>
      </c>
      <c r="U3" s="50" t="s">
        <v>19</v>
      </c>
      <c r="V3" s="50" t="s">
        <v>8</v>
      </c>
      <c r="W3" s="50" t="s">
        <v>9</v>
      </c>
      <c r="X3" s="51" t="s">
        <v>16</v>
      </c>
      <c r="Y3" s="51" t="s">
        <v>15</v>
      </c>
      <c r="Z3" s="50" t="s">
        <v>10</v>
      </c>
      <c r="AA3" s="50" t="s">
        <v>39</v>
      </c>
      <c r="AB3" s="50" t="s">
        <v>40</v>
      </c>
      <c r="AC3" s="50" t="s">
        <v>41</v>
      </c>
      <c r="AD3" s="50" t="s">
        <v>42</v>
      </c>
      <c r="AE3" s="50" t="s">
        <v>43</v>
      </c>
      <c r="AF3" s="52" t="s">
        <v>11</v>
      </c>
      <c r="AG3" s="84" t="s">
        <v>17</v>
      </c>
      <c r="AH3" s="85" t="s">
        <v>31</v>
      </c>
    </row>
    <row r="4" spans="1:34" ht="27.75" customHeight="1">
      <c r="A4" s="8"/>
      <c r="B4" s="109" t="s">
        <v>37</v>
      </c>
      <c r="C4" s="109"/>
      <c r="D4" s="109"/>
      <c r="E4" s="109"/>
      <c r="F4" s="109"/>
      <c r="G4" s="109"/>
      <c r="H4" s="109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  <c r="Y4" s="105"/>
      <c r="Z4" s="104"/>
      <c r="AA4" s="104"/>
      <c r="AB4" s="104"/>
      <c r="AC4" s="104"/>
      <c r="AD4" s="104"/>
      <c r="AE4" s="104"/>
      <c r="AF4" s="104"/>
      <c r="AG4" s="106"/>
      <c r="AH4" s="85"/>
    </row>
    <row r="5" spans="1:92" s="24" customFormat="1" ht="22.5" customHeight="1">
      <c r="A5" s="22">
        <v>8</v>
      </c>
      <c r="B5" s="42">
        <v>1</v>
      </c>
      <c r="C5" s="54">
        <v>15442</v>
      </c>
      <c r="D5" s="43" t="s">
        <v>26</v>
      </c>
      <c r="E5" s="43">
        <v>7</v>
      </c>
      <c r="F5" s="56">
        <v>43361</v>
      </c>
      <c r="G5" s="44">
        <v>1</v>
      </c>
      <c r="H5" s="43">
        <v>1</v>
      </c>
      <c r="I5" s="43">
        <v>0</v>
      </c>
      <c r="J5" s="43">
        <v>1</v>
      </c>
      <c r="K5" s="44">
        <v>0</v>
      </c>
      <c r="L5" s="44">
        <v>4</v>
      </c>
      <c r="M5" s="43">
        <v>1</v>
      </c>
      <c r="N5" s="43">
        <v>1</v>
      </c>
      <c r="O5" s="43">
        <v>1</v>
      </c>
      <c r="P5" s="43">
        <v>0</v>
      </c>
      <c r="Q5" s="43">
        <v>1</v>
      </c>
      <c r="R5" s="43">
        <v>0</v>
      </c>
      <c r="S5" s="43">
        <v>0</v>
      </c>
      <c r="T5" s="58">
        <v>6801.64</v>
      </c>
      <c r="U5" s="58">
        <v>1349.94</v>
      </c>
      <c r="V5" s="58">
        <f>8413.2+6801.64-T5-U5</f>
        <v>7063.26</v>
      </c>
      <c r="W5" s="58"/>
      <c r="X5" s="58"/>
      <c r="Y5" s="58"/>
      <c r="Z5" s="46">
        <f aca="true" t="shared" si="0" ref="Z5:Z36">((T5*50%+U5*85%+V5)/L5)+W5</f>
        <v>2902.88225</v>
      </c>
      <c r="AA5" s="46">
        <f aca="true" t="shared" si="1" ref="AA5:AA36">IF(O5=1,Z5*30%,0)</f>
        <v>870.864675</v>
      </c>
      <c r="AB5" s="46">
        <f aca="true" t="shared" si="2" ref="AB5:AB36">IF(K5=1,Z5*20%,0)</f>
        <v>0</v>
      </c>
      <c r="AC5" s="46">
        <f aca="true" t="shared" si="3" ref="AC5:AC36">IF(R5=1,Z5*10%,0)</f>
        <v>0</v>
      </c>
      <c r="AD5" s="46">
        <f aca="true" t="shared" si="4" ref="AD5:AD36">IF(S5=1,Z5*30%,0)</f>
        <v>0</v>
      </c>
      <c r="AE5" s="46">
        <f aca="true" t="shared" si="5" ref="AE5:AE36">IF(I5=1,Z5*30%,0)</f>
        <v>0</v>
      </c>
      <c r="AF5" s="46">
        <f aca="true" t="shared" si="6" ref="AF5:AF36">Z5-AA5-AB5-AC5-AD5-AE5</f>
        <v>2032.017575</v>
      </c>
      <c r="AG5" s="44">
        <v>87</v>
      </c>
      <c r="AH5" s="66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</row>
    <row r="6" spans="1:34" ht="22.5" customHeight="1">
      <c r="A6" s="3">
        <v>85</v>
      </c>
      <c r="B6" s="42">
        <v>2</v>
      </c>
      <c r="C6" s="54">
        <v>15373</v>
      </c>
      <c r="D6" s="43" t="s">
        <v>26</v>
      </c>
      <c r="E6" s="43">
        <v>7</v>
      </c>
      <c r="F6" s="56">
        <v>43359</v>
      </c>
      <c r="G6" s="44">
        <v>1</v>
      </c>
      <c r="H6" s="43">
        <v>1</v>
      </c>
      <c r="I6" s="43">
        <v>0</v>
      </c>
      <c r="J6" s="43">
        <v>1</v>
      </c>
      <c r="K6" s="44">
        <v>0</v>
      </c>
      <c r="L6" s="44">
        <v>3</v>
      </c>
      <c r="M6" s="43">
        <v>1</v>
      </c>
      <c r="N6" s="43">
        <v>1</v>
      </c>
      <c r="O6" s="43">
        <v>1</v>
      </c>
      <c r="P6" s="43">
        <v>0</v>
      </c>
      <c r="Q6" s="43">
        <v>0</v>
      </c>
      <c r="R6" s="43">
        <v>1</v>
      </c>
      <c r="S6" s="43">
        <v>0</v>
      </c>
      <c r="T6" s="58">
        <v>10562.68</v>
      </c>
      <c r="U6" s="58"/>
      <c r="V6" s="58"/>
      <c r="W6" s="58"/>
      <c r="X6" s="58"/>
      <c r="Y6" s="58"/>
      <c r="Z6" s="46">
        <f t="shared" si="0"/>
        <v>1760.4466666666667</v>
      </c>
      <c r="AA6" s="46">
        <f t="shared" si="1"/>
        <v>528.134</v>
      </c>
      <c r="AB6" s="46">
        <f t="shared" si="2"/>
        <v>0</v>
      </c>
      <c r="AC6" s="46">
        <f t="shared" si="3"/>
        <v>176.04466666666667</v>
      </c>
      <c r="AD6" s="46">
        <f t="shared" si="4"/>
        <v>0</v>
      </c>
      <c r="AE6" s="46">
        <f t="shared" si="5"/>
        <v>0</v>
      </c>
      <c r="AF6" s="46">
        <f t="shared" si="6"/>
        <v>1056.268</v>
      </c>
      <c r="AG6" s="44">
        <v>85</v>
      </c>
      <c r="AH6" s="66"/>
    </row>
    <row r="7" spans="1:34" ht="22.5" customHeight="1">
      <c r="A7" s="3"/>
      <c r="B7" s="42">
        <v>3</v>
      </c>
      <c r="C7" s="54">
        <v>15726</v>
      </c>
      <c r="D7" s="43" t="s">
        <v>26</v>
      </c>
      <c r="E7" s="44">
        <v>7</v>
      </c>
      <c r="F7" s="59">
        <v>43360</v>
      </c>
      <c r="G7" s="44">
        <v>1</v>
      </c>
      <c r="H7" s="44">
        <v>1</v>
      </c>
      <c r="I7" s="44">
        <v>0</v>
      </c>
      <c r="J7" s="44">
        <v>1</v>
      </c>
      <c r="K7" s="44">
        <v>0</v>
      </c>
      <c r="L7" s="44">
        <v>5</v>
      </c>
      <c r="M7" s="44">
        <v>1</v>
      </c>
      <c r="N7" s="44">
        <v>1</v>
      </c>
      <c r="O7" s="44">
        <v>0</v>
      </c>
      <c r="P7" s="44">
        <v>1</v>
      </c>
      <c r="Q7" s="44">
        <v>0</v>
      </c>
      <c r="R7" s="44">
        <v>0</v>
      </c>
      <c r="S7" s="44">
        <v>0</v>
      </c>
      <c r="T7" s="46">
        <v>4135.56</v>
      </c>
      <c r="U7" s="46">
        <v>1242.78</v>
      </c>
      <c r="V7" s="46">
        <f>6722.29-T7-U7</f>
        <v>1343.9499999999996</v>
      </c>
      <c r="W7" s="46"/>
      <c r="X7" s="46"/>
      <c r="Y7" s="46"/>
      <c r="Z7" s="46">
        <f t="shared" si="0"/>
        <v>893.6186</v>
      </c>
      <c r="AA7" s="46">
        <f t="shared" si="1"/>
        <v>0</v>
      </c>
      <c r="AB7" s="46">
        <f t="shared" si="2"/>
        <v>0</v>
      </c>
      <c r="AC7" s="46">
        <f t="shared" si="3"/>
        <v>0</v>
      </c>
      <c r="AD7" s="46">
        <f t="shared" si="4"/>
        <v>0</v>
      </c>
      <c r="AE7" s="46">
        <f t="shared" si="5"/>
        <v>0</v>
      </c>
      <c r="AF7" s="46">
        <f t="shared" si="6"/>
        <v>893.6186</v>
      </c>
      <c r="AG7" s="44">
        <v>79</v>
      </c>
      <c r="AH7" s="66"/>
    </row>
    <row r="8" spans="1:34" ht="18">
      <c r="A8" s="3">
        <v>27</v>
      </c>
      <c r="B8" s="57">
        <v>4</v>
      </c>
      <c r="C8" s="54">
        <v>15170</v>
      </c>
      <c r="D8" s="43" t="s">
        <v>24</v>
      </c>
      <c r="E8" s="43">
        <v>9</v>
      </c>
      <c r="F8" s="56">
        <v>43360</v>
      </c>
      <c r="G8" s="43">
        <v>1</v>
      </c>
      <c r="H8" s="43">
        <v>1</v>
      </c>
      <c r="I8" s="43">
        <v>0</v>
      </c>
      <c r="J8" s="43">
        <v>1</v>
      </c>
      <c r="K8" s="44">
        <v>0</v>
      </c>
      <c r="L8" s="44">
        <v>4</v>
      </c>
      <c r="M8" s="44">
        <v>1</v>
      </c>
      <c r="N8" s="43">
        <v>1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6">
        <v>4947.5</v>
      </c>
      <c r="U8" s="46"/>
      <c r="V8" s="46"/>
      <c r="W8" s="46"/>
      <c r="X8" s="46"/>
      <c r="Y8" s="46"/>
      <c r="Z8" s="46">
        <f t="shared" si="0"/>
        <v>618.4375</v>
      </c>
      <c r="AA8" s="46">
        <f t="shared" si="1"/>
        <v>0</v>
      </c>
      <c r="AB8" s="46">
        <f t="shared" si="2"/>
        <v>0</v>
      </c>
      <c r="AC8" s="46">
        <f t="shared" si="3"/>
        <v>0</v>
      </c>
      <c r="AD8" s="46">
        <f t="shared" si="4"/>
        <v>0</v>
      </c>
      <c r="AE8" s="46">
        <f t="shared" si="5"/>
        <v>0</v>
      </c>
      <c r="AF8" s="46">
        <f t="shared" si="6"/>
        <v>618.4375</v>
      </c>
      <c r="AG8" s="44">
        <v>76</v>
      </c>
      <c r="AH8" s="66"/>
    </row>
    <row r="9" spans="1:92" s="24" customFormat="1" ht="22.5" customHeight="1">
      <c r="A9" s="22"/>
      <c r="B9" s="57">
        <v>5</v>
      </c>
      <c r="C9" s="54">
        <v>15361</v>
      </c>
      <c r="D9" s="43" t="s">
        <v>26</v>
      </c>
      <c r="E9" s="43">
        <v>7</v>
      </c>
      <c r="F9" s="56">
        <v>43363</v>
      </c>
      <c r="G9" s="43">
        <v>1</v>
      </c>
      <c r="H9" s="43">
        <v>1</v>
      </c>
      <c r="I9" s="43">
        <v>0</v>
      </c>
      <c r="J9" s="43">
        <v>1</v>
      </c>
      <c r="K9" s="44">
        <v>0</v>
      </c>
      <c r="L9" s="44">
        <v>6</v>
      </c>
      <c r="M9" s="44">
        <v>1</v>
      </c>
      <c r="N9" s="43">
        <v>1</v>
      </c>
      <c r="O9" s="43">
        <v>1</v>
      </c>
      <c r="P9" s="43">
        <v>1</v>
      </c>
      <c r="Q9" s="43">
        <v>0</v>
      </c>
      <c r="R9" s="43">
        <v>0</v>
      </c>
      <c r="S9" s="43">
        <v>0</v>
      </c>
      <c r="T9" s="46">
        <v>12689.76</v>
      </c>
      <c r="U9" s="46">
        <v>1007.26</v>
      </c>
      <c r="V9" s="46">
        <f>4.54+1.99</f>
        <v>6.53</v>
      </c>
      <c r="W9" s="46"/>
      <c r="X9" s="46"/>
      <c r="Y9" s="46"/>
      <c r="Z9" s="46">
        <f t="shared" si="0"/>
        <v>1201.2635</v>
      </c>
      <c r="AA9" s="46">
        <f t="shared" si="1"/>
        <v>360.37905</v>
      </c>
      <c r="AB9" s="46">
        <f t="shared" si="2"/>
        <v>0</v>
      </c>
      <c r="AC9" s="46">
        <f t="shared" si="3"/>
        <v>0</v>
      </c>
      <c r="AD9" s="46">
        <f t="shared" si="4"/>
        <v>0</v>
      </c>
      <c r="AE9" s="46">
        <f t="shared" si="5"/>
        <v>0</v>
      </c>
      <c r="AF9" s="46">
        <f t="shared" si="6"/>
        <v>840.88445</v>
      </c>
      <c r="AG9" s="43">
        <v>73</v>
      </c>
      <c r="AH9" s="76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</row>
    <row r="10" spans="1:92" s="24" customFormat="1" ht="22.5" customHeight="1">
      <c r="A10" s="22"/>
      <c r="B10" s="42">
        <v>6</v>
      </c>
      <c r="C10" s="54">
        <v>15406</v>
      </c>
      <c r="D10" s="43" t="s">
        <v>26</v>
      </c>
      <c r="E10" s="43">
        <v>5</v>
      </c>
      <c r="F10" s="56">
        <v>43363</v>
      </c>
      <c r="G10" s="44">
        <v>1</v>
      </c>
      <c r="H10" s="43">
        <v>1</v>
      </c>
      <c r="I10" s="43">
        <v>1</v>
      </c>
      <c r="J10" s="43">
        <v>1</v>
      </c>
      <c r="K10" s="44">
        <v>0</v>
      </c>
      <c r="L10" s="44">
        <v>5</v>
      </c>
      <c r="M10" s="43">
        <v>1</v>
      </c>
      <c r="N10" s="43">
        <v>1</v>
      </c>
      <c r="O10" s="43">
        <v>1</v>
      </c>
      <c r="P10" s="43">
        <v>0</v>
      </c>
      <c r="Q10" s="43">
        <v>1</v>
      </c>
      <c r="R10" s="43">
        <v>0</v>
      </c>
      <c r="S10" s="43">
        <v>0</v>
      </c>
      <c r="T10" s="58"/>
      <c r="U10" s="58"/>
      <c r="V10" s="58">
        <f>456+3062</f>
        <v>3518</v>
      </c>
      <c r="W10" s="58"/>
      <c r="X10" s="58"/>
      <c r="Y10" s="58"/>
      <c r="Z10" s="46">
        <f t="shared" si="0"/>
        <v>703.6</v>
      </c>
      <c r="AA10" s="46">
        <f t="shared" si="1"/>
        <v>211.08</v>
      </c>
      <c r="AB10" s="46">
        <f t="shared" si="2"/>
        <v>0</v>
      </c>
      <c r="AC10" s="46">
        <f t="shared" si="3"/>
        <v>0</v>
      </c>
      <c r="AD10" s="46">
        <f t="shared" si="4"/>
        <v>0</v>
      </c>
      <c r="AE10" s="46">
        <f t="shared" si="5"/>
        <v>211.08</v>
      </c>
      <c r="AF10" s="46">
        <f t="shared" si="6"/>
        <v>281.43999999999994</v>
      </c>
      <c r="AG10" s="44">
        <v>69</v>
      </c>
      <c r="AH10" s="66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</row>
    <row r="11" spans="1:92" s="21" customFormat="1" ht="22.5" customHeight="1">
      <c r="A11" s="19">
        <v>52</v>
      </c>
      <c r="B11" s="42">
        <v>7</v>
      </c>
      <c r="C11" s="44">
        <v>15418</v>
      </c>
      <c r="D11" s="44" t="s">
        <v>26</v>
      </c>
      <c r="E11" s="44">
        <v>7</v>
      </c>
      <c r="F11" s="59">
        <v>43373</v>
      </c>
      <c r="G11" s="44">
        <v>1</v>
      </c>
      <c r="H11" s="44">
        <v>1</v>
      </c>
      <c r="I11" s="44">
        <v>0</v>
      </c>
      <c r="J11" s="44">
        <v>1</v>
      </c>
      <c r="K11" s="44">
        <v>0</v>
      </c>
      <c r="L11" s="44">
        <v>3</v>
      </c>
      <c r="M11" s="44">
        <v>1</v>
      </c>
      <c r="N11" s="44">
        <v>1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6"/>
      <c r="U11" s="46">
        <v>7011.71</v>
      </c>
      <c r="V11" s="46">
        <v>5742.4</v>
      </c>
      <c r="W11" s="46"/>
      <c r="X11" s="46"/>
      <c r="Y11" s="46"/>
      <c r="Z11" s="46">
        <f t="shared" si="0"/>
        <v>3900.7844999999998</v>
      </c>
      <c r="AA11" s="46">
        <f t="shared" si="1"/>
        <v>0</v>
      </c>
      <c r="AB11" s="46">
        <f t="shared" si="2"/>
        <v>0</v>
      </c>
      <c r="AC11" s="46">
        <f t="shared" si="3"/>
        <v>0</v>
      </c>
      <c r="AD11" s="46">
        <f t="shared" si="4"/>
        <v>0</v>
      </c>
      <c r="AE11" s="46">
        <f t="shared" si="5"/>
        <v>0</v>
      </c>
      <c r="AF11" s="46">
        <f t="shared" si="6"/>
        <v>3900.7844999999998</v>
      </c>
      <c r="AG11" s="44">
        <v>67</v>
      </c>
      <c r="AH11" s="66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s="21" customFormat="1" ht="18">
      <c r="A12" s="19"/>
      <c r="B12" s="42">
        <v>8</v>
      </c>
      <c r="C12" s="54">
        <v>14602</v>
      </c>
      <c r="D12" s="43" t="s">
        <v>26</v>
      </c>
      <c r="E12" s="43">
        <v>9</v>
      </c>
      <c r="F12" s="56">
        <v>43361</v>
      </c>
      <c r="G12" s="44">
        <v>1</v>
      </c>
      <c r="H12" s="43">
        <v>1</v>
      </c>
      <c r="I12" s="43">
        <v>0</v>
      </c>
      <c r="J12" s="43">
        <v>1</v>
      </c>
      <c r="K12" s="44">
        <v>0</v>
      </c>
      <c r="L12" s="44">
        <v>3</v>
      </c>
      <c r="M12" s="43">
        <v>1</v>
      </c>
      <c r="N12" s="43">
        <v>1</v>
      </c>
      <c r="O12" s="43">
        <v>0</v>
      </c>
      <c r="P12" s="43">
        <v>0</v>
      </c>
      <c r="Q12" s="43">
        <v>1</v>
      </c>
      <c r="R12" s="43">
        <v>1</v>
      </c>
      <c r="S12" s="43">
        <v>0</v>
      </c>
      <c r="T12" s="58">
        <v>5652.26</v>
      </c>
      <c r="U12" s="58"/>
      <c r="V12" s="58"/>
      <c r="W12" s="58"/>
      <c r="X12" s="58"/>
      <c r="Y12" s="58"/>
      <c r="Z12" s="46">
        <f t="shared" si="0"/>
        <v>942.0433333333334</v>
      </c>
      <c r="AA12" s="46">
        <f t="shared" si="1"/>
        <v>0</v>
      </c>
      <c r="AB12" s="46">
        <f t="shared" si="2"/>
        <v>0</v>
      </c>
      <c r="AC12" s="46">
        <f t="shared" si="3"/>
        <v>94.20433333333335</v>
      </c>
      <c r="AD12" s="46">
        <f t="shared" si="4"/>
        <v>0</v>
      </c>
      <c r="AE12" s="46">
        <f t="shared" si="5"/>
        <v>0</v>
      </c>
      <c r="AF12" s="46">
        <f t="shared" si="6"/>
        <v>847.839</v>
      </c>
      <c r="AG12" s="44">
        <v>67</v>
      </c>
      <c r="AH12" s="8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</row>
    <row r="13" spans="1:92" s="21" customFormat="1" ht="22.5" customHeight="1">
      <c r="A13" s="19"/>
      <c r="B13" s="57">
        <v>9</v>
      </c>
      <c r="C13" s="54">
        <v>15395</v>
      </c>
      <c r="D13" s="43" t="s">
        <v>26</v>
      </c>
      <c r="E13" s="43">
        <v>7</v>
      </c>
      <c r="F13" s="56">
        <v>43347</v>
      </c>
      <c r="G13" s="43">
        <v>1</v>
      </c>
      <c r="H13" s="43">
        <v>1</v>
      </c>
      <c r="I13" s="43">
        <v>0</v>
      </c>
      <c r="J13" s="43">
        <v>1</v>
      </c>
      <c r="K13" s="44">
        <v>0</v>
      </c>
      <c r="L13" s="44">
        <v>5</v>
      </c>
      <c r="M13" s="44">
        <v>1</v>
      </c>
      <c r="N13" s="43">
        <v>1</v>
      </c>
      <c r="O13" s="43">
        <v>0</v>
      </c>
      <c r="P13" s="43">
        <v>0</v>
      </c>
      <c r="Q13" s="43">
        <v>1</v>
      </c>
      <c r="R13" s="43">
        <v>0</v>
      </c>
      <c r="S13" s="43">
        <v>0</v>
      </c>
      <c r="T13" s="46">
        <f>12182.69+4703.59</f>
        <v>16886.28</v>
      </c>
      <c r="U13" s="46">
        <v>30</v>
      </c>
      <c r="V13" s="46">
        <v>2.42</v>
      </c>
      <c r="W13" s="46"/>
      <c r="X13" s="46"/>
      <c r="Y13" s="46"/>
      <c r="Z13" s="46">
        <f t="shared" si="0"/>
        <v>1694.212</v>
      </c>
      <c r="AA13" s="46">
        <f t="shared" si="1"/>
        <v>0</v>
      </c>
      <c r="AB13" s="46">
        <f t="shared" si="2"/>
        <v>0</v>
      </c>
      <c r="AC13" s="46">
        <f t="shared" si="3"/>
        <v>0</v>
      </c>
      <c r="AD13" s="46">
        <f t="shared" si="4"/>
        <v>0</v>
      </c>
      <c r="AE13" s="46">
        <f t="shared" si="5"/>
        <v>0</v>
      </c>
      <c r="AF13" s="46">
        <f t="shared" si="6"/>
        <v>1694.212</v>
      </c>
      <c r="AG13" s="44">
        <v>65</v>
      </c>
      <c r="AH13" s="66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</row>
    <row r="14" spans="1:92" s="21" customFormat="1" ht="18">
      <c r="A14" s="19"/>
      <c r="B14" s="42">
        <v>10</v>
      </c>
      <c r="C14" s="54">
        <v>15473</v>
      </c>
      <c r="D14" s="43" t="s">
        <v>26</v>
      </c>
      <c r="E14" s="44">
        <v>7</v>
      </c>
      <c r="F14" s="59">
        <v>43371</v>
      </c>
      <c r="G14" s="44">
        <v>1</v>
      </c>
      <c r="H14" s="44">
        <v>1</v>
      </c>
      <c r="I14" s="44">
        <v>0</v>
      </c>
      <c r="J14" s="44">
        <v>1</v>
      </c>
      <c r="K14" s="44">
        <v>0</v>
      </c>
      <c r="L14" s="44">
        <v>4</v>
      </c>
      <c r="M14" s="44">
        <v>1</v>
      </c>
      <c r="N14" s="44">
        <v>1</v>
      </c>
      <c r="O14" s="44">
        <v>1</v>
      </c>
      <c r="P14" s="44">
        <v>1</v>
      </c>
      <c r="Q14" s="44">
        <v>0</v>
      </c>
      <c r="R14" s="44">
        <v>1</v>
      </c>
      <c r="S14" s="44">
        <v>0</v>
      </c>
      <c r="T14" s="46">
        <v>10155.37</v>
      </c>
      <c r="U14" s="46"/>
      <c r="V14" s="46"/>
      <c r="W14" s="46"/>
      <c r="X14" s="46"/>
      <c r="Y14" s="46"/>
      <c r="Z14" s="46">
        <f t="shared" si="0"/>
        <v>1269.42125</v>
      </c>
      <c r="AA14" s="46">
        <f t="shared" si="1"/>
        <v>380.82637500000004</v>
      </c>
      <c r="AB14" s="46">
        <f t="shared" si="2"/>
        <v>0</v>
      </c>
      <c r="AC14" s="46">
        <f t="shared" si="3"/>
        <v>126.94212500000002</v>
      </c>
      <c r="AD14" s="46">
        <f t="shared" si="4"/>
        <v>0</v>
      </c>
      <c r="AE14" s="46">
        <f t="shared" si="5"/>
        <v>0</v>
      </c>
      <c r="AF14" s="46">
        <f t="shared" si="6"/>
        <v>761.65275</v>
      </c>
      <c r="AG14" s="43">
        <v>65</v>
      </c>
      <c r="AH14" s="75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s="24" customFormat="1" ht="22.5" customHeight="1">
      <c r="A15" s="22"/>
      <c r="B15" s="57">
        <v>11</v>
      </c>
      <c r="C15" s="54">
        <v>15485</v>
      </c>
      <c r="D15" s="43" t="s">
        <v>26</v>
      </c>
      <c r="E15" s="43">
        <v>7</v>
      </c>
      <c r="F15" s="56">
        <v>43371</v>
      </c>
      <c r="G15" s="43">
        <v>1</v>
      </c>
      <c r="H15" s="43">
        <v>1</v>
      </c>
      <c r="I15" s="43">
        <v>0</v>
      </c>
      <c r="J15" s="43">
        <v>1</v>
      </c>
      <c r="K15" s="44">
        <v>0</v>
      </c>
      <c r="L15" s="44">
        <v>3</v>
      </c>
      <c r="M15" s="44">
        <v>1</v>
      </c>
      <c r="N15" s="43">
        <v>1</v>
      </c>
      <c r="O15" s="43">
        <v>0</v>
      </c>
      <c r="P15" s="43">
        <v>0</v>
      </c>
      <c r="Q15" s="43">
        <v>0</v>
      </c>
      <c r="R15" s="43">
        <v>0</v>
      </c>
      <c r="S15" s="43">
        <v>1</v>
      </c>
      <c r="T15" s="46">
        <v>7358.64</v>
      </c>
      <c r="U15" s="46">
        <v>544.66</v>
      </c>
      <c r="V15" s="46">
        <f>1928.8+10208.93-T15-U15</f>
        <v>4234.429999999999</v>
      </c>
      <c r="W15" s="46"/>
      <c r="X15" s="46"/>
      <c r="Y15" s="46"/>
      <c r="Z15" s="46">
        <f t="shared" si="0"/>
        <v>2792.2369999999996</v>
      </c>
      <c r="AA15" s="46">
        <f t="shared" si="1"/>
        <v>0</v>
      </c>
      <c r="AB15" s="46">
        <f t="shared" si="2"/>
        <v>0</v>
      </c>
      <c r="AC15" s="46">
        <f t="shared" si="3"/>
        <v>0</v>
      </c>
      <c r="AD15" s="46">
        <f t="shared" si="4"/>
        <v>837.6710999999999</v>
      </c>
      <c r="AE15" s="46">
        <f t="shared" si="5"/>
        <v>0</v>
      </c>
      <c r="AF15" s="46">
        <f t="shared" si="6"/>
        <v>1954.5658999999996</v>
      </c>
      <c r="AG15" s="44">
        <v>64</v>
      </c>
      <c r="AH15" s="66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</row>
    <row r="16" spans="1:92" s="24" customFormat="1" ht="22.5" customHeight="1">
      <c r="A16" s="22">
        <v>35</v>
      </c>
      <c r="B16" s="42">
        <v>12</v>
      </c>
      <c r="C16" s="54">
        <v>15635</v>
      </c>
      <c r="D16" s="43" t="s">
        <v>24</v>
      </c>
      <c r="E16" s="44">
        <v>5</v>
      </c>
      <c r="F16" s="59">
        <v>43370</v>
      </c>
      <c r="G16" s="44">
        <v>1</v>
      </c>
      <c r="H16" s="44">
        <v>1</v>
      </c>
      <c r="I16" s="44">
        <v>0</v>
      </c>
      <c r="J16" s="44">
        <v>1</v>
      </c>
      <c r="K16" s="44">
        <v>0</v>
      </c>
      <c r="L16" s="44">
        <v>1</v>
      </c>
      <c r="M16" s="44">
        <v>1</v>
      </c>
      <c r="N16" s="44">
        <v>1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6"/>
      <c r="U16" s="46"/>
      <c r="V16" s="46">
        <v>3000</v>
      </c>
      <c r="W16" s="46"/>
      <c r="X16" s="46"/>
      <c r="Y16" s="46"/>
      <c r="Z16" s="46">
        <f t="shared" si="0"/>
        <v>3000</v>
      </c>
      <c r="AA16" s="46">
        <f t="shared" si="1"/>
        <v>0</v>
      </c>
      <c r="AB16" s="46">
        <f t="shared" si="2"/>
        <v>0</v>
      </c>
      <c r="AC16" s="46">
        <f t="shared" si="3"/>
        <v>0</v>
      </c>
      <c r="AD16" s="46">
        <f t="shared" si="4"/>
        <v>0</v>
      </c>
      <c r="AE16" s="46">
        <f t="shared" si="5"/>
        <v>0</v>
      </c>
      <c r="AF16" s="46">
        <f t="shared" si="6"/>
        <v>3000</v>
      </c>
      <c r="AG16" s="44">
        <v>63</v>
      </c>
      <c r="AH16" s="66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</row>
    <row r="17" spans="1:92" s="18" customFormat="1" ht="22.5" customHeight="1">
      <c r="A17" s="16"/>
      <c r="B17" s="57">
        <v>13</v>
      </c>
      <c r="C17" s="43">
        <v>2526</v>
      </c>
      <c r="D17" s="43" t="s">
        <v>25</v>
      </c>
      <c r="E17" s="43">
        <v>5</v>
      </c>
      <c r="F17" s="56">
        <v>43372</v>
      </c>
      <c r="G17" s="43">
        <v>1</v>
      </c>
      <c r="H17" s="43">
        <v>1</v>
      </c>
      <c r="I17" s="43">
        <v>0</v>
      </c>
      <c r="J17" s="43">
        <v>1</v>
      </c>
      <c r="K17" s="44">
        <v>0</v>
      </c>
      <c r="L17" s="44">
        <v>4</v>
      </c>
      <c r="M17" s="44">
        <v>1</v>
      </c>
      <c r="N17" s="43">
        <v>1</v>
      </c>
      <c r="O17" s="43">
        <v>1</v>
      </c>
      <c r="P17" s="43">
        <v>1</v>
      </c>
      <c r="Q17" s="43">
        <v>0</v>
      </c>
      <c r="R17" s="43">
        <v>1</v>
      </c>
      <c r="S17" s="43">
        <v>0</v>
      </c>
      <c r="T17" s="46">
        <v>5967.6</v>
      </c>
      <c r="U17" s="46"/>
      <c r="V17" s="46">
        <v>11400</v>
      </c>
      <c r="W17" s="46"/>
      <c r="X17" s="46"/>
      <c r="Y17" s="46"/>
      <c r="Z17" s="46">
        <f t="shared" si="0"/>
        <v>3595.95</v>
      </c>
      <c r="AA17" s="46">
        <f t="shared" si="1"/>
        <v>1078.7849999999999</v>
      </c>
      <c r="AB17" s="46">
        <f t="shared" si="2"/>
        <v>0</v>
      </c>
      <c r="AC17" s="46">
        <f t="shared" si="3"/>
        <v>359.595</v>
      </c>
      <c r="AD17" s="46">
        <f t="shared" si="4"/>
        <v>0</v>
      </c>
      <c r="AE17" s="46">
        <f t="shared" si="5"/>
        <v>0</v>
      </c>
      <c r="AF17" s="46">
        <f t="shared" si="6"/>
        <v>2157.5699999999997</v>
      </c>
      <c r="AG17" s="43">
        <v>62.5</v>
      </c>
      <c r="AH17" s="79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</row>
    <row r="18" spans="1:92" s="21" customFormat="1" ht="18">
      <c r="A18" s="19"/>
      <c r="B18" s="57">
        <v>14</v>
      </c>
      <c r="C18" s="54">
        <v>15250</v>
      </c>
      <c r="D18" s="43" t="s">
        <v>24</v>
      </c>
      <c r="E18" s="43">
        <v>9</v>
      </c>
      <c r="F18" s="56">
        <v>43349</v>
      </c>
      <c r="G18" s="43">
        <v>1</v>
      </c>
      <c r="H18" s="43">
        <v>1</v>
      </c>
      <c r="I18" s="43">
        <v>0</v>
      </c>
      <c r="J18" s="43">
        <v>1</v>
      </c>
      <c r="K18" s="44">
        <v>0</v>
      </c>
      <c r="L18" s="44">
        <v>4</v>
      </c>
      <c r="M18" s="44">
        <v>1</v>
      </c>
      <c r="N18" s="43">
        <v>1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6">
        <v>9140</v>
      </c>
      <c r="U18" s="46"/>
      <c r="V18" s="46"/>
      <c r="W18" s="46"/>
      <c r="X18" s="46"/>
      <c r="Y18" s="46"/>
      <c r="Z18" s="46">
        <f t="shared" si="0"/>
        <v>1142.5</v>
      </c>
      <c r="AA18" s="46">
        <f t="shared" si="1"/>
        <v>0</v>
      </c>
      <c r="AB18" s="46">
        <f t="shared" si="2"/>
        <v>0</v>
      </c>
      <c r="AC18" s="46">
        <f t="shared" si="3"/>
        <v>0</v>
      </c>
      <c r="AD18" s="46">
        <f t="shared" si="4"/>
        <v>0</v>
      </c>
      <c r="AE18" s="46">
        <f t="shared" si="5"/>
        <v>0</v>
      </c>
      <c r="AF18" s="46">
        <f t="shared" si="6"/>
        <v>1142.5</v>
      </c>
      <c r="AG18" s="44">
        <v>61</v>
      </c>
      <c r="AH18" s="66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34" ht="22.5" customHeight="1">
      <c r="A19" s="3">
        <v>97</v>
      </c>
      <c r="B19" s="57">
        <v>15</v>
      </c>
      <c r="C19" s="54">
        <v>15577</v>
      </c>
      <c r="D19" s="43" t="s">
        <v>26</v>
      </c>
      <c r="E19" s="43">
        <v>5</v>
      </c>
      <c r="F19" s="56">
        <v>43357</v>
      </c>
      <c r="G19" s="43">
        <v>1</v>
      </c>
      <c r="H19" s="43">
        <v>1</v>
      </c>
      <c r="I19" s="44">
        <v>0</v>
      </c>
      <c r="J19" s="43">
        <v>1</v>
      </c>
      <c r="K19" s="44">
        <v>0</v>
      </c>
      <c r="L19" s="44">
        <v>4</v>
      </c>
      <c r="M19" s="44">
        <v>1</v>
      </c>
      <c r="N19" s="43">
        <v>1</v>
      </c>
      <c r="O19" s="43">
        <v>1</v>
      </c>
      <c r="P19" s="43">
        <v>0</v>
      </c>
      <c r="Q19" s="43">
        <v>0</v>
      </c>
      <c r="R19" s="43">
        <v>0</v>
      </c>
      <c r="S19" s="43">
        <v>0</v>
      </c>
      <c r="T19" s="46">
        <f>9743.94+17204.73</f>
        <v>26948.67</v>
      </c>
      <c r="U19" s="46"/>
      <c r="V19" s="46"/>
      <c r="W19" s="46"/>
      <c r="X19" s="46"/>
      <c r="Y19" s="46"/>
      <c r="Z19" s="46">
        <f t="shared" si="0"/>
        <v>3368.58375</v>
      </c>
      <c r="AA19" s="46">
        <f t="shared" si="1"/>
        <v>1010.5751249999998</v>
      </c>
      <c r="AB19" s="46">
        <f t="shared" si="2"/>
        <v>0</v>
      </c>
      <c r="AC19" s="46">
        <f t="shared" si="3"/>
        <v>0</v>
      </c>
      <c r="AD19" s="46">
        <f t="shared" si="4"/>
        <v>0</v>
      </c>
      <c r="AE19" s="46">
        <f t="shared" si="5"/>
        <v>0</v>
      </c>
      <c r="AF19" s="46">
        <f t="shared" si="6"/>
        <v>2358.008625</v>
      </c>
      <c r="AG19" s="44">
        <v>61</v>
      </c>
      <c r="AH19" s="66"/>
    </row>
    <row r="20" spans="1:92" s="21" customFormat="1" ht="22.5" customHeight="1">
      <c r="A20" s="19">
        <v>226</v>
      </c>
      <c r="B20" s="42">
        <v>16</v>
      </c>
      <c r="C20" s="54">
        <v>15793</v>
      </c>
      <c r="D20" s="44" t="s">
        <v>24</v>
      </c>
      <c r="E20" s="44">
        <v>3</v>
      </c>
      <c r="F20" s="59">
        <v>43343</v>
      </c>
      <c r="G20" s="44">
        <v>1</v>
      </c>
      <c r="H20" s="44">
        <v>1</v>
      </c>
      <c r="I20" s="44">
        <v>1</v>
      </c>
      <c r="J20" s="44">
        <v>1</v>
      </c>
      <c r="K20" s="44">
        <v>0</v>
      </c>
      <c r="L20" s="44">
        <v>4</v>
      </c>
      <c r="M20" s="44">
        <v>1</v>
      </c>
      <c r="N20" s="44">
        <v>1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6">
        <f>4311.37+5294.95</f>
        <v>9606.32</v>
      </c>
      <c r="U20" s="46"/>
      <c r="V20" s="46"/>
      <c r="W20" s="46"/>
      <c r="X20" s="46"/>
      <c r="Y20" s="46"/>
      <c r="Z20" s="46">
        <f t="shared" si="0"/>
        <v>1200.79</v>
      </c>
      <c r="AA20" s="46">
        <f t="shared" si="1"/>
        <v>0</v>
      </c>
      <c r="AB20" s="46">
        <f t="shared" si="2"/>
        <v>0</v>
      </c>
      <c r="AC20" s="46">
        <f t="shared" si="3"/>
        <v>0</v>
      </c>
      <c r="AD20" s="46">
        <f t="shared" si="4"/>
        <v>0</v>
      </c>
      <c r="AE20" s="46">
        <f t="shared" si="5"/>
        <v>360.23699999999997</v>
      </c>
      <c r="AF20" s="46">
        <f t="shared" si="6"/>
        <v>840.553</v>
      </c>
      <c r="AG20" s="43">
        <v>60</v>
      </c>
      <c r="AH20" s="75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92" s="33" customFormat="1" ht="22.5" customHeight="1">
      <c r="A21" s="22"/>
      <c r="B21" s="42">
        <v>17</v>
      </c>
      <c r="C21" s="54">
        <v>15560</v>
      </c>
      <c r="D21" s="43" t="s">
        <v>26</v>
      </c>
      <c r="E21" s="44">
        <v>5</v>
      </c>
      <c r="F21" s="59">
        <v>43361</v>
      </c>
      <c r="G21" s="44">
        <v>1</v>
      </c>
      <c r="H21" s="44">
        <v>1</v>
      </c>
      <c r="I21" s="44">
        <v>0</v>
      </c>
      <c r="J21" s="44">
        <v>1</v>
      </c>
      <c r="K21" s="44">
        <v>0</v>
      </c>
      <c r="L21" s="44">
        <v>5</v>
      </c>
      <c r="M21" s="44">
        <v>1</v>
      </c>
      <c r="N21" s="44">
        <v>1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6">
        <f>5500.03+4800</f>
        <v>10300.029999999999</v>
      </c>
      <c r="U21" s="46">
        <v>870.19</v>
      </c>
      <c r="V21" s="46"/>
      <c r="W21" s="46"/>
      <c r="X21" s="46"/>
      <c r="Y21" s="46"/>
      <c r="Z21" s="46">
        <f t="shared" si="0"/>
        <v>1177.9352999999999</v>
      </c>
      <c r="AA21" s="46">
        <f t="shared" si="1"/>
        <v>0</v>
      </c>
      <c r="AB21" s="46">
        <f t="shared" si="2"/>
        <v>0</v>
      </c>
      <c r="AC21" s="46">
        <f t="shared" si="3"/>
        <v>0</v>
      </c>
      <c r="AD21" s="46">
        <f t="shared" si="4"/>
        <v>0</v>
      </c>
      <c r="AE21" s="46">
        <f t="shared" si="5"/>
        <v>0</v>
      </c>
      <c r="AF21" s="46">
        <f t="shared" si="6"/>
        <v>1177.9352999999999</v>
      </c>
      <c r="AG21" s="44">
        <v>60</v>
      </c>
      <c r="AH21" s="66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</row>
    <row r="22" spans="1:92" s="24" customFormat="1" ht="22.5" customHeight="1">
      <c r="A22" s="22"/>
      <c r="B22" s="42">
        <v>18</v>
      </c>
      <c r="C22" s="54">
        <v>15556</v>
      </c>
      <c r="D22" s="43" t="s">
        <v>26</v>
      </c>
      <c r="E22" s="43">
        <v>5</v>
      </c>
      <c r="F22" s="56">
        <v>43369</v>
      </c>
      <c r="G22" s="44">
        <v>1</v>
      </c>
      <c r="H22" s="43">
        <v>1</v>
      </c>
      <c r="I22" s="43">
        <v>0</v>
      </c>
      <c r="J22" s="43">
        <v>1</v>
      </c>
      <c r="K22" s="44">
        <v>0</v>
      </c>
      <c r="L22" s="44">
        <v>4</v>
      </c>
      <c r="M22" s="43">
        <v>1</v>
      </c>
      <c r="N22" s="43">
        <v>1</v>
      </c>
      <c r="O22" s="43">
        <v>0</v>
      </c>
      <c r="P22" s="43">
        <v>1</v>
      </c>
      <c r="Q22" s="43">
        <v>0</v>
      </c>
      <c r="R22" s="43">
        <v>0</v>
      </c>
      <c r="S22" s="43">
        <v>0</v>
      </c>
      <c r="T22" s="58">
        <f>11335.16+11387.16</f>
        <v>22722.32</v>
      </c>
      <c r="U22" s="58"/>
      <c r="V22" s="58">
        <f>14080.32+11390.53-T22</f>
        <v>2748.529999999999</v>
      </c>
      <c r="W22" s="58"/>
      <c r="X22" s="58"/>
      <c r="Y22" s="58"/>
      <c r="Z22" s="46">
        <f t="shared" si="0"/>
        <v>3527.4224999999997</v>
      </c>
      <c r="AA22" s="46">
        <f t="shared" si="1"/>
        <v>0</v>
      </c>
      <c r="AB22" s="46">
        <f t="shared" si="2"/>
        <v>0</v>
      </c>
      <c r="AC22" s="46">
        <f t="shared" si="3"/>
        <v>0</v>
      </c>
      <c r="AD22" s="46">
        <f t="shared" si="4"/>
        <v>0</v>
      </c>
      <c r="AE22" s="46">
        <f t="shared" si="5"/>
        <v>0</v>
      </c>
      <c r="AF22" s="46">
        <f t="shared" si="6"/>
        <v>3527.4224999999997</v>
      </c>
      <c r="AG22" s="44">
        <v>60</v>
      </c>
      <c r="AH22" s="66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</row>
    <row r="23" spans="1:92" s="24" customFormat="1" ht="22.5" customHeight="1">
      <c r="A23" s="22">
        <v>23</v>
      </c>
      <c r="B23" s="42">
        <v>19</v>
      </c>
      <c r="C23" s="54">
        <v>15855</v>
      </c>
      <c r="D23" s="43" t="s">
        <v>24</v>
      </c>
      <c r="E23" s="44">
        <v>3</v>
      </c>
      <c r="F23" s="59">
        <v>43357</v>
      </c>
      <c r="G23" s="44">
        <v>1</v>
      </c>
      <c r="H23" s="44">
        <v>1</v>
      </c>
      <c r="I23" s="44">
        <v>0</v>
      </c>
      <c r="J23" s="44">
        <v>1</v>
      </c>
      <c r="K23" s="44">
        <v>0</v>
      </c>
      <c r="L23" s="44">
        <v>5</v>
      </c>
      <c r="M23" s="44">
        <v>1</v>
      </c>
      <c r="N23" s="44">
        <v>1</v>
      </c>
      <c r="O23" s="44">
        <v>0</v>
      </c>
      <c r="P23" s="44">
        <v>1</v>
      </c>
      <c r="Q23" s="44">
        <v>0</v>
      </c>
      <c r="R23" s="44">
        <v>0</v>
      </c>
      <c r="S23" s="44">
        <v>0</v>
      </c>
      <c r="T23" s="46">
        <v>3956.61</v>
      </c>
      <c r="U23" s="46"/>
      <c r="V23" s="46">
        <f>1247.28+3158.1</f>
        <v>4405.38</v>
      </c>
      <c r="W23" s="46"/>
      <c r="X23" s="46"/>
      <c r="Y23" s="46"/>
      <c r="Z23" s="46">
        <f t="shared" si="0"/>
        <v>1276.737</v>
      </c>
      <c r="AA23" s="46">
        <f t="shared" si="1"/>
        <v>0</v>
      </c>
      <c r="AB23" s="46">
        <f t="shared" si="2"/>
        <v>0</v>
      </c>
      <c r="AC23" s="46">
        <f t="shared" si="3"/>
        <v>0</v>
      </c>
      <c r="AD23" s="46">
        <f t="shared" si="4"/>
        <v>0</v>
      </c>
      <c r="AE23" s="46">
        <f t="shared" si="5"/>
        <v>0</v>
      </c>
      <c r="AF23" s="46">
        <f t="shared" si="6"/>
        <v>1276.737</v>
      </c>
      <c r="AG23" s="44">
        <v>56</v>
      </c>
      <c r="AH23" s="66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</row>
    <row r="24" spans="1:92" s="21" customFormat="1" ht="22.5" customHeight="1">
      <c r="A24" s="19">
        <v>47</v>
      </c>
      <c r="B24" s="42">
        <v>20</v>
      </c>
      <c r="C24" s="54">
        <v>15586</v>
      </c>
      <c r="D24" s="43" t="s">
        <v>26</v>
      </c>
      <c r="E24" s="43">
        <v>5</v>
      </c>
      <c r="F24" s="56">
        <v>43369</v>
      </c>
      <c r="G24" s="44">
        <v>1</v>
      </c>
      <c r="H24" s="43">
        <v>1</v>
      </c>
      <c r="I24" s="43">
        <v>0</v>
      </c>
      <c r="J24" s="43">
        <v>1</v>
      </c>
      <c r="K24" s="44">
        <v>0</v>
      </c>
      <c r="L24" s="44">
        <v>5</v>
      </c>
      <c r="M24" s="43">
        <v>1</v>
      </c>
      <c r="N24" s="43">
        <v>1</v>
      </c>
      <c r="O24" s="43">
        <v>0</v>
      </c>
      <c r="P24" s="43">
        <v>0</v>
      </c>
      <c r="Q24" s="43">
        <v>1</v>
      </c>
      <c r="R24" s="43">
        <v>0</v>
      </c>
      <c r="S24" s="43">
        <v>0</v>
      </c>
      <c r="T24" s="58"/>
      <c r="U24" s="58">
        <f>8930.21+5953.79-V24</f>
        <v>13871.95</v>
      </c>
      <c r="V24" s="58">
        <v>1012.05</v>
      </c>
      <c r="W24" s="58"/>
      <c r="X24" s="58"/>
      <c r="Y24" s="58"/>
      <c r="Z24" s="46">
        <f t="shared" si="0"/>
        <v>2560.6415</v>
      </c>
      <c r="AA24" s="46">
        <f t="shared" si="1"/>
        <v>0</v>
      </c>
      <c r="AB24" s="46">
        <f t="shared" si="2"/>
        <v>0</v>
      </c>
      <c r="AC24" s="46">
        <f t="shared" si="3"/>
        <v>0</v>
      </c>
      <c r="AD24" s="46">
        <f t="shared" si="4"/>
        <v>0</v>
      </c>
      <c r="AE24" s="46">
        <f t="shared" si="5"/>
        <v>0</v>
      </c>
      <c r="AF24" s="46">
        <f t="shared" si="6"/>
        <v>2560.6415</v>
      </c>
      <c r="AG24" s="44">
        <v>56</v>
      </c>
      <c r="AH24" s="66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34" ht="18">
      <c r="A25" s="3">
        <v>206</v>
      </c>
      <c r="B25" s="42">
        <v>21</v>
      </c>
      <c r="C25" s="54">
        <v>15158</v>
      </c>
      <c r="D25" s="54" t="s">
        <v>24</v>
      </c>
      <c r="E25" s="43">
        <v>9</v>
      </c>
      <c r="F25" s="56">
        <v>43358</v>
      </c>
      <c r="G25" s="44">
        <v>1</v>
      </c>
      <c r="H25" s="43">
        <v>1</v>
      </c>
      <c r="I25" s="43">
        <v>0</v>
      </c>
      <c r="J25" s="43">
        <v>1</v>
      </c>
      <c r="K25" s="44">
        <v>0</v>
      </c>
      <c r="L25" s="44">
        <v>3</v>
      </c>
      <c r="M25" s="43">
        <v>1</v>
      </c>
      <c r="N25" s="43">
        <v>1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58">
        <v>20695.95</v>
      </c>
      <c r="U25" s="58"/>
      <c r="V25" s="58"/>
      <c r="W25" s="58"/>
      <c r="X25" s="58"/>
      <c r="Y25" s="58"/>
      <c r="Z25" s="46">
        <f t="shared" si="0"/>
        <v>3449.3250000000003</v>
      </c>
      <c r="AA25" s="46">
        <f t="shared" si="1"/>
        <v>0</v>
      </c>
      <c r="AB25" s="46">
        <f t="shared" si="2"/>
        <v>0</v>
      </c>
      <c r="AC25" s="46">
        <f t="shared" si="3"/>
        <v>0</v>
      </c>
      <c r="AD25" s="46">
        <f t="shared" si="4"/>
        <v>0</v>
      </c>
      <c r="AE25" s="46">
        <f t="shared" si="5"/>
        <v>0</v>
      </c>
      <c r="AF25" s="46">
        <f t="shared" si="6"/>
        <v>3449.3250000000003</v>
      </c>
      <c r="AG25" s="44">
        <v>56</v>
      </c>
      <c r="AH25" s="66"/>
    </row>
    <row r="26" spans="1:92" s="21" customFormat="1" ht="18">
      <c r="A26" s="19">
        <v>197</v>
      </c>
      <c r="B26" s="42">
        <v>22</v>
      </c>
      <c r="C26" s="43">
        <v>2505</v>
      </c>
      <c r="D26" s="43" t="s">
        <v>25</v>
      </c>
      <c r="E26" s="43">
        <v>7</v>
      </c>
      <c r="F26" s="56">
        <v>43373</v>
      </c>
      <c r="G26" s="44">
        <v>1</v>
      </c>
      <c r="H26" s="43">
        <v>1</v>
      </c>
      <c r="I26" s="43">
        <v>0</v>
      </c>
      <c r="J26" s="43">
        <v>1</v>
      </c>
      <c r="K26" s="44">
        <v>0</v>
      </c>
      <c r="L26" s="44">
        <v>1</v>
      </c>
      <c r="M26" s="43">
        <v>1</v>
      </c>
      <c r="N26" s="43">
        <v>1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58">
        <v>0</v>
      </c>
      <c r="U26" s="58"/>
      <c r="V26" s="58"/>
      <c r="W26" s="58"/>
      <c r="X26" s="58"/>
      <c r="Y26" s="58"/>
      <c r="Z26" s="46">
        <f t="shared" si="0"/>
        <v>0</v>
      </c>
      <c r="AA26" s="46">
        <f t="shared" si="1"/>
        <v>0</v>
      </c>
      <c r="AB26" s="46">
        <f t="shared" si="2"/>
        <v>0</v>
      </c>
      <c r="AC26" s="46">
        <f t="shared" si="3"/>
        <v>0</v>
      </c>
      <c r="AD26" s="46">
        <f t="shared" si="4"/>
        <v>0</v>
      </c>
      <c r="AE26" s="46">
        <f t="shared" si="5"/>
        <v>0</v>
      </c>
      <c r="AF26" s="46">
        <f t="shared" si="6"/>
        <v>0</v>
      </c>
      <c r="AG26" s="44">
        <v>55.5</v>
      </c>
      <c r="AH26" s="66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s="24" customFormat="1" ht="22.5" customHeight="1">
      <c r="A27" s="22"/>
      <c r="B27" s="42">
        <v>23</v>
      </c>
      <c r="C27" s="54">
        <v>15517</v>
      </c>
      <c r="D27" s="44" t="s">
        <v>24</v>
      </c>
      <c r="E27" s="43">
        <v>5</v>
      </c>
      <c r="F27" s="56">
        <v>43356</v>
      </c>
      <c r="G27" s="44">
        <v>1</v>
      </c>
      <c r="H27" s="43">
        <v>1</v>
      </c>
      <c r="I27" s="43">
        <v>1</v>
      </c>
      <c r="J27" s="43">
        <v>1</v>
      </c>
      <c r="K27" s="44">
        <v>0</v>
      </c>
      <c r="L27" s="44">
        <v>3</v>
      </c>
      <c r="M27" s="43">
        <v>1</v>
      </c>
      <c r="N27" s="43">
        <v>1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58">
        <f>4415+4100</f>
        <v>8515</v>
      </c>
      <c r="U27" s="58"/>
      <c r="V27" s="58"/>
      <c r="W27" s="58"/>
      <c r="X27" s="58"/>
      <c r="Y27" s="58"/>
      <c r="Z27" s="46">
        <f t="shared" si="0"/>
        <v>1419.1666666666667</v>
      </c>
      <c r="AA27" s="46">
        <f t="shared" si="1"/>
        <v>0</v>
      </c>
      <c r="AB27" s="46">
        <f t="shared" si="2"/>
        <v>0</v>
      </c>
      <c r="AC27" s="46">
        <f t="shared" si="3"/>
        <v>0</v>
      </c>
      <c r="AD27" s="46">
        <f t="shared" si="4"/>
        <v>0</v>
      </c>
      <c r="AE27" s="46">
        <f t="shared" si="5"/>
        <v>425.75</v>
      </c>
      <c r="AF27" s="46">
        <f t="shared" si="6"/>
        <v>993.4166666666667</v>
      </c>
      <c r="AG27" s="44">
        <v>55</v>
      </c>
      <c r="AH27" s="66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</row>
    <row r="28" spans="1:92" s="21" customFormat="1" ht="18">
      <c r="A28" s="19">
        <v>118</v>
      </c>
      <c r="B28" s="57">
        <v>24</v>
      </c>
      <c r="C28" s="54">
        <v>15894</v>
      </c>
      <c r="D28" s="43" t="s">
        <v>24</v>
      </c>
      <c r="E28" s="43">
        <v>3</v>
      </c>
      <c r="F28" s="56">
        <v>43363</v>
      </c>
      <c r="G28" s="43">
        <v>1</v>
      </c>
      <c r="H28" s="43">
        <v>1</v>
      </c>
      <c r="I28" s="44">
        <v>0</v>
      </c>
      <c r="J28" s="43">
        <v>1</v>
      </c>
      <c r="K28" s="44">
        <v>0</v>
      </c>
      <c r="L28" s="44">
        <v>5</v>
      </c>
      <c r="M28" s="44">
        <v>1</v>
      </c>
      <c r="N28" s="43">
        <v>1</v>
      </c>
      <c r="O28" s="43">
        <v>1</v>
      </c>
      <c r="P28" s="43">
        <v>0</v>
      </c>
      <c r="Q28" s="43">
        <v>1</v>
      </c>
      <c r="R28" s="43">
        <v>0</v>
      </c>
      <c r="S28" s="43">
        <v>0</v>
      </c>
      <c r="T28" s="46">
        <v>17822.35</v>
      </c>
      <c r="U28" s="46"/>
      <c r="V28" s="46">
        <f>3192+9.27+0.19</f>
        <v>3201.46</v>
      </c>
      <c r="W28" s="46"/>
      <c r="X28" s="46"/>
      <c r="Y28" s="46"/>
      <c r="Z28" s="46">
        <f t="shared" si="0"/>
        <v>2422.5269999999996</v>
      </c>
      <c r="AA28" s="46">
        <f t="shared" si="1"/>
        <v>726.7580999999999</v>
      </c>
      <c r="AB28" s="46">
        <f t="shared" si="2"/>
        <v>0</v>
      </c>
      <c r="AC28" s="46">
        <f t="shared" si="3"/>
        <v>0</v>
      </c>
      <c r="AD28" s="46">
        <f t="shared" si="4"/>
        <v>0</v>
      </c>
      <c r="AE28" s="46">
        <f t="shared" si="5"/>
        <v>0</v>
      </c>
      <c r="AF28" s="46">
        <f t="shared" si="6"/>
        <v>1695.7688999999996</v>
      </c>
      <c r="AG28" s="44">
        <v>55</v>
      </c>
      <c r="AH28" s="66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</row>
    <row r="29" spans="1:92" ht="18">
      <c r="A29" s="10">
        <v>136</v>
      </c>
      <c r="B29" s="57">
        <v>25</v>
      </c>
      <c r="C29" s="54">
        <v>15809</v>
      </c>
      <c r="D29" s="43" t="s">
        <v>26</v>
      </c>
      <c r="E29" s="43">
        <v>3</v>
      </c>
      <c r="F29" s="56">
        <v>43349</v>
      </c>
      <c r="G29" s="43">
        <v>1</v>
      </c>
      <c r="H29" s="43">
        <v>1</v>
      </c>
      <c r="I29" s="44">
        <v>1</v>
      </c>
      <c r="J29" s="43">
        <v>1</v>
      </c>
      <c r="K29" s="44">
        <v>0</v>
      </c>
      <c r="L29" s="44">
        <v>4</v>
      </c>
      <c r="M29" s="44">
        <v>1</v>
      </c>
      <c r="N29" s="43">
        <v>1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6">
        <f>6259.97+2700.03-V29</f>
        <v>8556.8</v>
      </c>
      <c r="U29" s="46"/>
      <c r="V29" s="46">
        <v>403.2</v>
      </c>
      <c r="W29" s="46"/>
      <c r="X29" s="46"/>
      <c r="Y29" s="46"/>
      <c r="Z29" s="46">
        <f t="shared" si="0"/>
        <v>1170.3999999999999</v>
      </c>
      <c r="AA29" s="46">
        <f t="shared" si="1"/>
        <v>0</v>
      </c>
      <c r="AB29" s="46">
        <f t="shared" si="2"/>
        <v>0</v>
      </c>
      <c r="AC29" s="46">
        <f t="shared" si="3"/>
        <v>0</v>
      </c>
      <c r="AD29" s="46">
        <f t="shared" si="4"/>
        <v>0</v>
      </c>
      <c r="AE29" s="46">
        <f t="shared" si="5"/>
        <v>351.11999999999995</v>
      </c>
      <c r="AF29" s="46">
        <f t="shared" si="6"/>
        <v>819.28</v>
      </c>
      <c r="AG29" s="44">
        <v>55</v>
      </c>
      <c r="AH29" s="6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</row>
    <row r="30" spans="1:34" ht="22.5" customHeight="1">
      <c r="A30" s="3"/>
      <c r="B30" s="53">
        <v>26</v>
      </c>
      <c r="C30" s="54">
        <v>15841</v>
      </c>
      <c r="D30" s="43" t="s">
        <v>26</v>
      </c>
      <c r="E30" s="43">
        <v>3</v>
      </c>
      <c r="F30" s="56">
        <v>43350</v>
      </c>
      <c r="G30" s="54">
        <v>1</v>
      </c>
      <c r="H30" s="54">
        <v>1</v>
      </c>
      <c r="I30" s="54">
        <v>0</v>
      </c>
      <c r="J30" s="54">
        <v>1</v>
      </c>
      <c r="K30" s="54">
        <v>0</v>
      </c>
      <c r="L30" s="54">
        <v>3</v>
      </c>
      <c r="M30" s="54">
        <v>1</v>
      </c>
      <c r="N30" s="54">
        <v>1</v>
      </c>
      <c r="O30" s="54">
        <v>0</v>
      </c>
      <c r="P30" s="54">
        <v>0</v>
      </c>
      <c r="Q30" s="54">
        <v>1</v>
      </c>
      <c r="R30" s="54">
        <v>0</v>
      </c>
      <c r="S30" s="54">
        <v>0</v>
      </c>
      <c r="T30" s="67">
        <f>6809.96+2500</f>
        <v>9309.96</v>
      </c>
      <c r="U30" s="67"/>
      <c r="V30" s="67"/>
      <c r="W30" s="67"/>
      <c r="X30" s="67"/>
      <c r="Y30" s="67"/>
      <c r="Z30" s="62">
        <f t="shared" si="0"/>
        <v>1551.6599999999999</v>
      </c>
      <c r="AA30" s="62">
        <f t="shared" si="1"/>
        <v>0</v>
      </c>
      <c r="AB30" s="62">
        <f t="shared" si="2"/>
        <v>0</v>
      </c>
      <c r="AC30" s="62">
        <f t="shared" si="3"/>
        <v>0</v>
      </c>
      <c r="AD30" s="62">
        <f t="shared" si="4"/>
        <v>0</v>
      </c>
      <c r="AE30" s="62">
        <f t="shared" si="5"/>
        <v>0</v>
      </c>
      <c r="AF30" s="62">
        <f t="shared" si="6"/>
        <v>1551.6599999999999</v>
      </c>
      <c r="AG30" s="54">
        <v>55</v>
      </c>
      <c r="AH30" s="77"/>
    </row>
    <row r="31" spans="1:92" s="7" customFormat="1" ht="22.5" customHeight="1">
      <c r="A31" s="9">
        <v>217</v>
      </c>
      <c r="B31" s="42">
        <v>27</v>
      </c>
      <c r="C31" s="43">
        <v>15799</v>
      </c>
      <c r="D31" s="43" t="s">
        <v>24</v>
      </c>
      <c r="E31" s="43">
        <v>3</v>
      </c>
      <c r="F31" s="56">
        <v>43343</v>
      </c>
      <c r="G31" s="44">
        <v>1</v>
      </c>
      <c r="H31" s="43">
        <v>1</v>
      </c>
      <c r="I31" s="43">
        <v>0</v>
      </c>
      <c r="J31" s="43">
        <v>1</v>
      </c>
      <c r="K31" s="44">
        <v>0</v>
      </c>
      <c r="L31" s="44">
        <v>4</v>
      </c>
      <c r="M31" s="43">
        <v>1</v>
      </c>
      <c r="N31" s="43">
        <v>1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58">
        <f>13021.63+4280.76</f>
        <v>17302.39</v>
      </c>
      <c r="U31" s="58"/>
      <c r="V31" s="58">
        <v>10.42</v>
      </c>
      <c r="W31" s="58"/>
      <c r="X31" s="58"/>
      <c r="Y31" s="58"/>
      <c r="Z31" s="46">
        <f t="shared" si="0"/>
        <v>2165.40375</v>
      </c>
      <c r="AA31" s="46">
        <f t="shared" si="1"/>
        <v>0</v>
      </c>
      <c r="AB31" s="46">
        <f t="shared" si="2"/>
        <v>0</v>
      </c>
      <c r="AC31" s="46">
        <f t="shared" si="3"/>
        <v>0</v>
      </c>
      <c r="AD31" s="46">
        <f t="shared" si="4"/>
        <v>0</v>
      </c>
      <c r="AE31" s="46">
        <f t="shared" si="5"/>
        <v>0</v>
      </c>
      <c r="AF31" s="46">
        <f t="shared" si="6"/>
        <v>2165.40375</v>
      </c>
      <c r="AG31" s="44">
        <v>54</v>
      </c>
      <c r="AH31" s="66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</row>
    <row r="32" spans="1:92" s="24" customFormat="1" ht="22.5" customHeight="1">
      <c r="A32" s="22">
        <v>163</v>
      </c>
      <c r="B32" s="60">
        <v>28</v>
      </c>
      <c r="C32" s="54">
        <v>15404</v>
      </c>
      <c r="D32" s="43" t="s">
        <v>24</v>
      </c>
      <c r="E32" s="43">
        <v>7</v>
      </c>
      <c r="F32" s="56">
        <v>43373</v>
      </c>
      <c r="G32" s="61">
        <v>1</v>
      </c>
      <c r="H32" s="54">
        <v>1</v>
      </c>
      <c r="I32" s="54">
        <v>0</v>
      </c>
      <c r="J32" s="54">
        <v>1</v>
      </c>
      <c r="K32" s="61">
        <v>1</v>
      </c>
      <c r="L32" s="61">
        <v>3</v>
      </c>
      <c r="M32" s="54">
        <v>1</v>
      </c>
      <c r="N32" s="54">
        <v>1</v>
      </c>
      <c r="O32" s="54">
        <v>1</v>
      </c>
      <c r="P32" s="54">
        <v>1</v>
      </c>
      <c r="Q32" s="54">
        <v>0</v>
      </c>
      <c r="R32" s="54">
        <v>0</v>
      </c>
      <c r="S32" s="54">
        <v>0</v>
      </c>
      <c r="T32" s="63">
        <f>2452.03+6736.07</f>
        <v>9188.1</v>
      </c>
      <c r="U32" s="63">
        <v>208.69</v>
      </c>
      <c r="V32" s="63">
        <f>2452.03+7289.51-T32-U32</f>
        <v>344.7500000000005</v>
      </c>
      <c r="W32" s="63"/>
      <c r="X32" s="63"/>
      <c r="Y32" s="63"/>
      <c r="Z32" s="62">
        <f t="shared" si="0"/>
        <v>1705.3955000000003</v>
      </c>
      <c r="AA32" s="62">
        <f t="shared" si="1"/>
        <v>511.61865000000006</v>
      </c>
      <c r="AB32" s="62">
        <f t="shared" si="2"/>
        <v>341.0791000000001</v>
      </c>
      <c r="AC32" s="62">
        <f t="shared" si="3"/>
        <v>0</v>
      </c>
      <c r="AD32" s="62">
        <f t="shared" si="4"/>
        <v>0</v>
      </c>
      <c r="AE32" s="62">
        <f t="shared" si="5"/>
        <v>0</v>
      </c>
      <c r="AF32" s="62">
        <f t="shared" si="6"/>
        <v>852.69775</v>
      </c>
      <c r="AG32" s="54">
        <v>54</v>
      </c>
      <c r="AH32" s="77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</row>
    <row r="33" spans="1:92" s="21" customFormat="1" ht="22.5" customHeight="1">
      <c r="A33" s="19">
        <v>178</v>
      </c>
      <c r="B33" s="57">
        <v>29</v>
      </c>
      <c r="C33" s="54">
        <v>2631</v>
      </c>
      <c r="D33" s="43" t="s">
        <v>25</v>
      </c>
      <c r="E33" s="43">
        <v>3</v>
      </c>
      <c r="F33" s="56">
        <v>43362</v>
      </c>
      <c r="G33" s="43">
        <v>1</v>
      </c>
      <c r="H33" s="43">
        <v>1</v>
      </c>
      <c r="I33" s="44">
        <v>0</v>
      </c>
      <c r="J33" s="43">
        <v>1</v>
      </c>
      <c r="K33" s="44">
        <v>0</v>
      </c>
      <c r="L33" s="44">
        <v>5</v>
      </c>
      <c r="M33" s="44">
        <v>1</v>
      </c>
      <c r="N33" s="43">
        <v>1</v>
      </c>
      <c r="O33" s="43">
        <v>0</v>
      </c>
      <c r="P33" s="43">
        <v>0</v>
      </c>
      <c r="Q33" s="43">
        <v>1</v>
      </c>
      <c r="R33" s="43">
        <v>0</v>
      </c>
      <c r="S33" s="43">
        <v>0</v>
      </c>
      <c r="T33" s="46">
        <v>5230.56</v>
      </c>
      <c r="U33" s="46"/>
      <c r="V33" s="46">
        <v>7689.3</v>
      </c>
      <c r="W33" s="46"/>
      <c r="X33" s="46"/>
      <c r="Y33" s="46"/>
      <c r="Z33" s="46">
        <f t="shared" si="0"/>
        <v>2060.916</v>
      </c>
      <c r="AA33" s="46">
        <f t="shared" si="1"/>
        <v>0</v>
      </c>
      <c r="AB33" s="46">
        <f t="shared" si="2"/>
        <v>0</v>
      </c>
      <c r="AC33" s="46">
        <f t="shared" si="3"/>
        <v>0</v>
      </c>
      <c r="AD33" s="46">
        <f t="shared" si="4"/>
        <v>0</v>
      </c>
      <c r="AE33" s="46">
        <f t="shared" si="5"/>
        <v>0</v>
      </c>
      <c r="AF33" s="46">
        <f t="shared" si="6"/>
        <v>2060.916</v>
      </c>
      <c r="AG33" s="44">
        <v>54</v>
      </c>
      <c r="AH33" s="66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s="21" customFormat="1" ht="18">
      <c r="A34" s="19">
        <v>210</v>
      </c>
      <c r="B34" s="53">
        <v>30</v>
      </c>
      <c r="C34" s="54">
        <v>15623</v>
      </c>
      <c r="D34" s="43" t="s">
        <v>26</v>
      </c>
      <c r="E34" s="54">
        <v>5</v>
      </c>
      <c r="F34" s="64">
        <v>43362</v>
      </c>
      <c r="G34" s="54">
        <v>1</v>
      </c>
      <c r="H34" s="54">
        <v>1</v>
      </c>
      <c r="I34" s="54">
        <v>1</v>
      </c>
      <c r="J34" s="54">
        <v>1</v>
      </c>
      <c r="K34" s="61">
        <v>0</v>
      </c>
      <c r="L34" s="61">
        <v>3</v>
      </c>
      <c r="M34" s="61">
        <v>1</v>
      </c>
      <c r="N34" s="54">
        <v>1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62">
        <f>4725.61+5920.65</f>
        <v>10646.259999999998</v>
      </c>
      <c r="U34" s="62"/>
      <c r="V34" s="62"/>
      <c r="W34" s="62"/>
      <c r="X34" s="62"/>
      <c r="Y34" s="62"/>
      <c r="Z34" s="62">
        <f t="shared" si="0"/>
        <v>1774.3766666666663</v>
      </c>
      <c r="AA34" s="62">
        <f t="shared" si="1"/>
        <v>0</v>
      </c>
      <c r="AB34" s="62">
        <f t="shared" si="2"/>
        <v>0</v>
      </c>
      <c r="AC34" s="62">
        <f t="shared" si="3"/>
        <v>0</v>
      </c>
      <c r="AD34" s="62">
        <f t="shared" si="4"/>
        <v>0</v>
      </c>
      <c r="AE34" s="62">
        <f t="shared" si="5"/>
        <v>532.3129999999999</v>
      </c>
      <c r="AF34" s="62">
        <f t="shared" si="6"/>
        <v>1242.0636666666664</v>
      </c>
      <c r="AG34" s="54">
        <v>54</v>
      </c>
      <c r="AH34" s="77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s="18" customFormat="1" ht="18">
      <c r="A35" s="16">
        <v>148</v>
      </c>
      <c r="B35" s="60">
        <v>31</v>
      </c>
      <c r="C35" s="54">
        <v>15456</v>
      </c>
      <c r="D35" s="43" t="s">
        <v>26</v>
      </c>
      <c r="E35" s="61">
        <v>7</v>
      </c>
      <c r="F35" s="70">
        <v>43363</v>
      </c>
      <c r="G35" s="61">
        <v>1</v>
      </c>
      <c r="H35" s="61">
        <v>1</v>
      </c>
      <c r="I35" s="61">
        <v>1</v>
      </c>
      <c r="J35" s="61">
        <v>1</v>
      </c>
      <c r="K35" s="61">
        <v>0</v>
      </c>
      <c r="L35" s="61">
        <v>5</v>
      </c>
      <c r="M35" s="61">
        <v>1</v>
      </c>
      <c r="N35" s="61">
        <v>1</v>
      </c>
      <c r="O35" s="61">
        <v>1</v>
      </c>
      <c r="P35" s="61">
        <v>0</v>
      </c>
      <c r="Q35" s="61">
        <v>1</v>
      </c>
      <c r="R35" s="61">
        <v>0</v>
      </c>
      <c r="S35" s="61">
        <v>0</v>
      </c>
      <c r="T35" s="62">
        <f>18806.6+2564.64</f>
        <v>21371.239999999998</v>
      </c>
      <c r="U35" s="62"/>
      <c r="V35" s="62">
        <v>3420</v>
      </c>
      <c r="W35" s="62"/>
      <c r="X35" s="62"/>
      <c r="Y35" s="62"/>
      <c r="Z35" s="62">
        <f t="shared" si="0"/>
        <v>2821.124</v>
      </c>
      <c r="AA35" s="62">
        <f t="shared" si="1"/>
        <v>846.3371999999999</v>
      </c>
      <c r="AB35" s="62">
        <f t="shared" si="2"/>
        <v>0</v>
      </c>
      <c r="AC35" s="62">
        <f t="shared" si="3"/>
        <v>0</v>
      </c>
      <c r="AD35" s="62">
        <f t="shared" si="4"/>
        <v>0</v>
      </c>
      <c r="AE35" s="62">
        <f t="shared" si="5"/>
        <v>846.3371999999999</v>
      </c>
      <c r="AF35" s="62">
        <f t="shared" si="6"/>
        <v>1128.4496</v>
      </c>
      <c r="AG35" s="54">
        <v>54</v>
      </c>
      <c r="AH35" s="7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</row>
    <row r="36" spans="1:92" s="7" customFormat="1" ht="22.5" customHeight="1">
      <c r="A36" s="9">
        <v>224</v>
      </c>
      <c r="B36" s="57">
        <v>32</v>
      </c>
      <c r="C36" s="54">
        <v>15342</v>
      </c>
      <c r="D36" s="44" t="s">
        <v>24</v>
      </c>
      <c r="E36" s="43">
        <v>7</v>
      </c>
      <c r="F36" s="56">
        <v>43361</v>
      </c>
      <c r="G36" s="43">
        <v>1</v>
      </c>
      <c r="H36" s="43">
        <v>1</v>
      </c>
      <c r="I36" s="43">
        <v>0</v>
      </c>
      <c r="J36" s="43">
        <v>1</v>
      </c>
      <c r="K36" s="44">
        <v>0</v>
      </c>
      <c r="L36" s="44">
        <v>3</v>
      </c>
      <c r="M36" s="44">
        <v>1</v>
      </c>
      <c r="N36" s="43">
        <v>1</v>
      </c>
      <c r="O36" s="43">
        <v>1</v>
      </c>
      <c r="P36" s="43">
        <v>0</v>
      </c>
      <c r="Q36" s="43">
        <v>0</v>
      </c>
      <c r="R36" s="43">
        <v>1</v>
      </c>
      <c r="S36" s="43">
        <v>0</v>
      </c>
      <c r="T36" s="46">
        <v>5040</v>
      </c>
      <c r="U36" s="46"/>
      <c r="V36" s="46"/>
      <c r="W36" s="46"/>
      <c r="X36" s="46"/>
      <c r="Y36" s="46"/>
      <c r="Z36" s="46">
        <f t="shared" si="0"/>
        <v>840</v>
      </c>
      <c r="AA36" s="46">
        <f t="shared" si="1"/>
        <v>252</v>
      </c>
      <c r="AB36" s="46">
        <f t="shared" si="2"/>
        <v>0</v>
      </c>
      <c r="AC36" s="46">
        <f t="shared" si="3"/>
        <v>84</v>
      </c>
      <c r="AD36" s="46">
        <f t="shared" si="4"/>
        <v>0</v>
      </c>
      <c r="AE36" s="46">
        <f t="shared" si="5"/>
        <v>0</v>
      </c>
      <c r="AF36" s="46">
        <f t="shared" si="6"/>
        <v>504</v>
      </c>
      <c r="AG36" s="44">
        <v>53</v>
      </c>
      <c r="AH36" s="66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</row>
    <row r="37" spans="1:92" s="21" customFormat="1" ht="18">
      <c r="A37" s="19"/>
      <c r="B37" s="57">
        <v>33</v>
      </c>
      <c r="C37" s="43">
        <v>15199</v>
      </c>
      <c r="D37" s="43" t="s">
        <v>26</v>
      </c>
      <c r="E37" s="43">
        <v>9</v>
      </c>
      <c r="F37" s="56">
        <v>43358</v>
      </c>
      <c r="G37" s="43">
        <v>1</v>
      </c>
      <c r="H37" s="43">
        <v>1</v>
      </c>
      <c r="I37" s="44">
        <v>0</v>
      </c>
      <c r="J37" s="43">
        <v>1</v>
      </c>
      <c r="K37" s="44">
        <v>0</v>
      </c>
      <c r="L37" s="44">
        <v>3</v>
      </c>
      <c r="M37" s="44">
        <v>1</v>
      </c>
      <c r="N37" s="43">
        <v>1</v>
      </c>
      <c r="O37" s="43">
        <v>0</v>
      </c>
      <c r="P37" s="43">
        <v>1</v>
      </c>
      <c r="Q37" s="43">
        <v>0</v>
      </c>
      <c r="R37" s="43">
        <v>0</v>
      </c>
      <c r="S37" s="43">
        <v>0</v>
      </c>
      <c r="T37" s="46">
        <f>10966.76+7963.53</f>
        <v>18930.29</v>
      </c>
      <c r="U37" s="46"/>
      <c r="V37" s="46"/>
      <c r="W37" s="46"/>
      <c r="X37" s="46"/>
      <c r="Y37" s="46"/>
      <c r="Z37" s="46">
        <f aca="true" t="shared" si="7" ref="Z37:Z68">((T37*50%+U37*85%+V37)/L37)+W37</f>
        <v>3155.0483333333336</v>
      </c>
      <c r="AA37" s="46">
        <f aca="true" t="shared" si="8" ref="AA37:AA68">IF(O37=1,Z37*30%,0)</f>
        <v>0</v>
      </c>
      <c r="AB37" s="46">
        <f aca="true" t="shared" si="9" ref="AB37:AB68">IF(K37=1,Z37*20%,0)</f>
        <v>0</v>
      </c>
      <c r="AC37" s="46">
        <f aca="true" t="shared" si="10" ref="AC37:AC68">IF(R37=1,Z37*10%,0)</f>
        <v>0</v>
      </c>
      <c r="AD37" s="46">
        <f aca="true" t="shared" si="11" ref="AD37:AD68">IF(S37=1,Z37*30%,0)</f>
        <v>0</v>
      </c>
      <c r="AE37" s="46">
        <f aca="true" t="shared" si="12" ref="AE37:AE68">IF(I37=1,Z37*30%,0)</f>
        <v>0</v>
      </c>
      <c r="AF37" s="46">
        <f aca="true" t="shared" si="13" ref="AF37:AF68">Z37-AA37-AB37-AC37-AD37-AE37</f>
        <v>3155.0483333333336</v>
      </c>
      <c r="AG37" s="44">
        <v>53</v>
      </c>
      <c r="AH37" s="66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s="28" customFormat="1" ht="18">
      <c r="A38" s="26"/>
      <c r="B38" s="42">
        <v>34</v>
      </c>
      <c r="C38" s="54">
        <v>15356</v>
      </c>
      <c r="D38" s="43" t="s">
        <v>26</v>
      </c>
      <c r="E38" s="44">
        <v>9</v>
      </c>
      <c r="F38" s="59">
        <v>43360</v>
      </c>
      <c r="G38" s="44">
        <v>1</v>
      </c>
      <c r="H38" s="44">
        <v>1</v>
      </c>
      <c r="I38" s="44">
        <v>0</v>
      </c>
      <c r="J38" s="44">
        <v>1</v>
      </c>
      <c r="K38" s="44">
        <v>0</v>
      </c>
      <c r="L38" s="44">
        <v>5</v>
      </c>
      <c r="M38" s="44">
        <v>1</v>
      </c>
      <c r="N38" s="44">
        <v>1</v>
      </c>
      <c r="O38" s="44">
        <v>1</v>
      </c>
      <c r="P38" s="44">
        <v>0</v>
      </c>
      <c r="Q38" s="44">
        <v>1</v>
      </c>
      <c r="R38" s="44">
        <v>0</v>
      </c>
      <c r="S38" s="44">
        <v>0</v>
      </c>
      <c r="T38" s="46">
        <v>7466.42</v>
      </c>
      <c r="U38" s="46">
        <v>958.09</v>
      </c>
      <c r="V38" s="46"/>
      <c r="W38" s="46"/>
      <c r="X38" s="46"/>
      <c r="Y38" s="46"/>
      <c r="Z38" s="46">
        <f t="shared" si="7"/>
        <v>909.5173000000001</v>
      </c>
      <c r="AA38" s="46">
        <f t="shared" si="8"/>
        <v>272.85519</v>
      </c>
      <c r="AB38" s="46">
        <f t="shared" si="9"/>
        <v>0</v>
      </c>
      <c r="AC38" s="46">
        <f t="shared" si="10"/>
        <v>0</v>
      </c>
      <c r="AD38" s="46">
        <f t="shared" si="11"/>
        <v>0</v>
      </c>
      <c r="AE38" s="46">
        <f t="shared" si="12"/>
        <v>0</v>
      </c>
      <c r="AF38" s="46">
        <f t="shared" si="13"/>
        <v>636.6621100000001</v>
      </c>
      <c r="AG38" s="44">
        <v>53</v>
      </c>
      <c r="AH38" s="80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</row>
    <row r="39" spans="1:92" s="24" customFormat="1" ht="22.5" customHeight="1">
      <c r="A39" s="22">
        <v>203</v>
      </c>
      <c r="B39" s="53">
        <v>35</v>
      </c>
      <c r="C39" s="54">
        <v>15420</v>
      </c>
      <c r="D39" s="43" t="s">
        <v>26</v>
      </c>
      <c r="E39" s="54">
        <v>7</v>
      </c>
      <c r="F39" s="64">
        <v>43365</v>
      </c>
      <c r="G39" s="54">
        <v>1</v>
      </c>
      <c r="H39" s="54">
        <v>1</v>
      </c>
      <c r="I39" s="61">
        <v>0</v>
      </c>
      <c r="J39" s="54">
        <v>1</v>
      </c>
      <c r="K39" s="61">
        <v>0</v>
      </c>
      <c r="L39" s="61">
        <v>5</v>
      </c>
      <c r="M39" s="61">
        <v>1</v>
      </c>
      <c r="N39" s="54">
        <v>1</v>
      </c>
      <c r="O39" s="54">
        <v>0</v>
      </c>
      <c r="P39" s="54">
        <v>0</v>
      </c>
      <c r="Q39" s="54">
        <v>1</v>
      </c>
      <c r="R39" s="54">
        <v>0</v>
      </c>
      <c r="S39" s="54">
        <v>0</v>
      </c>
      <c r="T39" s="62"/>
      <c r="U39" s="62"/>
      <c r="V39" s="62">
        <v>2994</v>
      </c>
      <c r="W39" s="62"/>
      <c r="X39" s="62"/>
      <c r="Y39" s="62"/>
      <c r="Z39" s="62">
        <f t="shared" si="7"/>
        <v>598.8</v>
      </c>
      <c r="AA39" s="62">
        <f t="shared" si="8"/>
        <v>0</v>
      </c>
      <c r="AB39" s="62">
        <f t="shared" si="9"/>
        <v>0</v>
      </c>
      <c r="AC39" s="62">
        <f t="shared" si="10"/>
        <v>0</v>
      </c>
      <c r="AD39" s="62">
        <f t="shared" si="11"/>
        <v>0</v>
      </c>
      <c r="AE39" s="62">
        <f t="shared" si="12"/>
        <v>0</v>
      </c>
      <c r="AF39" s="62">
        <f t="shared" si="13"/>
        <v>598.8</v>
      </c>
      <c r="AG39" s="61">
        <v>53</v>
      </c>
      <c r="AH39" s="81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</row>
    <row r="40" spans="1:92" s="7" customFormat="1" ht="22.5" customHeight="1">
      <c r="A40" s="9">
        <v>138</v>
      </c>
      <c r="B40" s="57">
        <v>36</v>
      </c>
      <c r="C40" s="54">
        <v>15583</v>
      </c>
      <c r="D40" s="43" t="s">
        <v>26</v>
      </c>
      <c r="E40" s="43">
        <v>5</v>
      </c>
      <c r="F40" s="56">
        <v>43372</v>
      </c>
      <c r="G40" s="61">
        <v>1</v>
      </c>
      <c r="H40" s="54">
        <v>1</v>
      </c>
      <c r="I40" s="54">
        <v>0</v>
      </c>
      <c r="J40" s="54">
        <v>1</v>
      </c>
      <c r="K40" s="61">
        <v>0</v>
      </c>
      <c r="L40" s="61">
        <v>2</v>
      </c>
      <c r="M40" s="54">
        <v>1</v>
      </c>
      <c r="N40" s="54">
        <v>1</v>
      </c>
      <c r="O40" s="54">
        <v>0</v>
      </c>
      <c r="P40" s="54">
        <v>0</v>
      </c>
      <c r="Q40" s="54">
        <v>0</v>
      </c>
      <c r="R40" s="54">
        <v>1</v>
      </c>
      <c r="S40" s="54">
        <v>0</v>
      </c>
      <c r="T40" s="63">
        <f>409.62+8763.72</f>
        <v>9173.34</v>
      </c>
      <c r="U40" s="63"/>
      <c r="V40" s="63"/>
      <c r="W40" s="63"/>
      <c r="X40" s="63"/>
      <c r="Y40" s="63"/>
      <c r="Z40" s="62">
        <f t="shared" si="7"/>
        <v>2293.335</v>
      </c>
      <c r="AA40" s="46">
        <f t="shared" si="8"/>
        <v>0</v>
      </c>
      <c r="AB40" s="62">
        <f t="shared" si="9"/>
        <v>0</v>
      </c>
      <c r="AC40" s="62">
        <f t="shared" si="10"/>
        <v>229.33350000000002</v>
      </c>
      <c r="AD40" s="62">
        <f t="shared" si="11"/>
        <v>0</v>
      </c>
      <c r="AE40" s="62">
        <f t="shared" si="12"/>
        <v>0</v>
      </c>
      <c r="AF40" s="62">
        <f t="shared" si="13"/>
        <v>2064.0015</v>
      </c>
      <c r="AG40" s="54">
        <v>53</v>
      </c>
      <c r="AH40" s="77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</row>
    <row r="41" spans="1:34" ht="22.5" customHeight="1">
      <c r="A41" s="3"/>
      <c r="B41" s="57">
        <v>37</v>
      </c>
      <c r="C41" s="54">
        <v>2479</v>
      </c>
      <c r="D41" s="54" t="s">
        <v>25</v>
      </c>
      <c r="E41" s="43">
        <v>7</v>
      </c>
      <c r="F41" s="56">
        <v>43348</v>
      </c>
      <c r="G41" s="61">
        <v>1</v>
      </c>
      <c r="H41" s="54">
        <v>1</v>
      </c>
      <c r="I41" s="54">
        <v>1</v>
      </c>
      <c r="J41" s="54">
        <v>1</v>
      </c>
      <c r="K41" s="61">
        <v>0</v>
      </c>
      <c r="L41" s="61">
        <v>3</v>
      </c>
      <c r="M41" s="54">
        <v>1</v>
      </c>
      <c r="N41" s="54">
        <v>1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63"/>
      <c r="U41" s="63"/>
      <c r="V41" s="63">
        <v>3300</v>
      </c>
      <c r="W41" s="63"/>
      <c r="X41" s="63"/>
      <c r="Y41" s="63"/>
      <c r="Z41" s="62">
        <f t="shared" si="7"/>
        <v>1100</v>
      </c>
      <c r="AA41" s="62">
        <f t="shared" si="8"/>
        <v>0</v>
      </c>
      <c r="AB41" s="62">
        <f t="shared" si="9"/>
        <v>0</v>
      </c>
      <c r="AC41" s="62">
        <f t="shared" si="10"/>
        <v>0</v>
      </c>
      <c r="AD41" s="62">
        <f t="shared" si="11"/>
        <v>0</v>
      </c>
      <c r="AE41" s="62">
        <f t="shared" si="12"/>
        <v>330</v>
      </c>
      <c r="AF41" s="62">
        <f t="shared" si="13"/>
        <v>770</v>
      </c>
      <c r="AG41" s="54">
        <v>52</v>
      </c>
      <c r="AH41" s="77"/>
    </row>
    <row r="42" spans="1:34" ht="22.5" customHeight="1">
      <c r="A42" s="3">
        <v>207</v>
      </c>
      <c r="B42" s="42">
        <v>38</v>
      </c>
      <c r="C42" s="54">
        <v>15427</v>
      </c>
      <c r="D42" s="43" t="s">
        <v>26</v>
      </c>
      <c r="E42" s="43">
        <v>7</v>
      </c>
      <c r="F42" s="56">
        <v>43348</v>
      </c>
      <c r="G42" s="44">
        <v>1</v>
      </c>
      <c r="H42" s="43">
        <v>1</v>
      </c>
      <c r="I42" s="43">
        <v>1</v>
      </c>
      <c r="J42" s="43">
        <v>1</v>
      </c>
      <c r="K42" s="44">
        <v>0</v>
      </c>
      <c r="L42" s="44">
        <v>5</v>
      </c>
      <c r="M42" s="43">
        <v>1</v>
      </c>
      <c r="N42" s="43">
        <v>1</v>
      </c>
      <c r="O42" s="43">
        <v>1</v>
      </c>
      <c r="P42" s="43">
        <v>0</v>
      </c>
      <c r="Q42" s="43">
        <v>1</v>
      </c>
      <c r="R42" s="43">
        <v>0</v>
      </c>
      <c r="S42" s="43">
        <v>0</v>
      </c>
      <c r="T42" s="58">
        <f>8463.17+2500</f>
        <v>10963.17</v>
      </c>
      <c r="U42" s="58"/>
      <c r="V42" s="58"/>
      <c r="W42" s="58"/>
      <c r="X42" s="58"/>
      <c r="Y42" s="58"/>
      <c r="Z42" s="46">
        <f t="shared" si="7"/>
        <v>1096.317</v>
      </c>
      <c r="AA42" s="46">
        <f t="shared" si="8"/>
        <v>328.8951</v>
      </c>
      <c r="AB42" s="46">
        <f t="shared" si="9"/>
        <v>0</v>
      </c>
      <c r="AC42" s="46">
        <f t="shared" si="10"/>
        <v>0</v>
      </c>
      <c r="AD42" s="46">
        <f t="shared" si="11"/>
        <v>0</v>
      </c>
      <c r="AE42" s="46">
        <f t="shared" si="12"/>
        <v>328.8951</v>
      </c>
      <c r="AF42" s="46">
        <f t="shared" si="13"/>
        <v>438.52680000000004</v>
      </c>
      <c r="AG42" s="43">
        <v>52</v>
      </c>
      <c r="AH42" s="75"/>
    </row>
    <row r="43" spans="1:92" s="24" customFormat="1" ht="18">
      <c r="A43" s="22"/>
      <c r="B43" s="53">
        <v>39</v>
      </c>
      <c r="C43" s="54">
        <v>15171</v>
      </c>
      <c r="D43" s="43" t="s">
        <v>26</v>
      </c>
      <c r="E43" s="44">
        <v>9</v>
      </c>
      <c r="F43" s="59">
        <v>43360</v>
      </c>
      <c r="G43" s="44">
        <v>1</v>
      </c>
      <c r="H43" s="44">
        <v>1</v>
      </c>
      <c r="I43" s="44">
        <v>0</v>
      </c>
      <c r="J43" s="44">
        <v>1</v>
      </c>
      <c r="K43" s="44">
        <v>0</v>
      </c>
      <c r="L43" s="44">
        <v>3</v>
      </c>
      <c r="M43" s="44">
        <v>1</v>
      </c>
      <c r="N43" s="44">
        <v>1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6">
        <v>11035.36</v>
      </c>
      <c r="U43" s="46"/>
      <c r="V43" s="46">
        <f>12199.19-T43</f>
        <v>1163.83</v>
      </c>
      <c r="W43" s="46"/>
      <c r="X43" s="46"/>
      <c r="Y43" s="46"/>
      <c r="Z43" s="46">
        <f t="shared" si="7"/>
        <v>2227.17</v>
      </c>
      <c r="AA43" s="46">
        <f t="shared" si="8"/>
        <v>0</v>
      </c>
      <c r="AB43" s="46">
        <f t="shared" si="9"/>
        <v>0</v>
      </c>
      <c r="AC43" s="46">
        <f t="shared" si="10"/>
        <v>0</v>
      </c>
      <c r="AD43" s="46">
        <f t="shared" si="11"/>
        <v>0</v>
      </c>
      <c r="AE43" s="46">
        <f t="shared" si="12"/>
        <v>0</v>
      </c>
      <c r="AF43" s="46">
        <f t="shared" si="13"/>
        <v>2227.17</v>
      </c>
      <c r="AG43" s="43">
        <v>52</v>
      </c>
      <c r="AH43" s="80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</row>
    <row r="44" spans="1:92" s="24" customFormat="1" ht="22.5" customHeight="1">
      <c r="A44" s="22">
        <v>81</v>
      </c>
      <c r="B44" s="57">
        <v>40</v>
      </c>
      <c r="C44" s="54">
        <v>15416</v>
      </c>
      <c r="D44" s="43" t="s">
        <v>26</v>
      </c>
      <c r="E44" s="43">
        <v>7</v>
      </c>
      <c r="F44" s="56">
        <v>43349</v>
      </c>
      <c r="G44" s="43">
        <v>1</v>
      </c>
      <c r="H44" s="43">
        <v>1</v>
      </c>
      <c r="I44" s="43">
        <v>0</v>
      </c>
      <c r="J44" s="43">
        <v>1</v>
      </c>
      <c r="K44" s="44">
        <v>0</v>
      </c>
      <c r="L44" s="44">
        <v>4</v>
      </c>
      <c r="M44" s="44">
        <v>1</v>
      </c>
      <c r="N44" s="43">
        <v>1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6">
        <v>9209.51</v>
      </c>
      <c r="U44" s="46">
        <v>3789.35</v>
      </c>
      <c r="V44" s="46"/>
      <c r="W44" s="46"/>
      <c r="X44" s="46"/>
      <c r="Y44" s="46"/>
      <c r="Z44" s="46">
        <f t="shared" si="7"/>
        <v>1956.4256249999999</v>
      </c>
      <c r="AA44" s="46">
        <f t="shared" si="8"/>
        <v>0</v>
      </c>
      <c r="AB44" s="46">
        <f t="shared" si="9"/>
        <v>0</v>
      </c>
      <c r="AC44" s="46">
        <f t="shared" si="10"/>
        <v>0</v>
      </c>
      <c r="AD44" s="46">
        <f t="shared" si="11"/>
        <v>0</v>
      </c>
      <c r="AE44" s="46">
        <f t="shared" si="12"/>
        <v>0</v>
      </c>
      <c r="AF44" s="46">
        <f t="shared" si="13"/>
        <v>1956.4256249999999</v>
      </c>
      <c r="AG44" s="44">
        <v>51</v>
      </c>
      <c r="AH44" s="66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</row>
    <row r="45" spans="1:92" s="21" customFormat="1" ht="18">
      <c r="A45" s="19">
        <v>147</v>
      </c>
      <c r="B45" s="57">
        <v>41</v>
      </c>
      <c r="C45" s="44">
        <v>15521</v>
      </c>
      <c r="D45" s="43" t="s">
        <v>24</v>
      </c>
      <c r="E45" s="44">
        <v>5</v>
      </c>
      <c r="F45" s="59">
        <v>43343</v>
      </c>
      <c r="G45" s="44">
        <v>1</v>
      </c>
      <c r="H45" s="44">
        <v>1</v>
      </c>
      <c r="I45" s="44">
        <v>0</v>
      </c>
      <c r="J45" s="44">
        <v>1</v>
      </c>
      <c r="K45" s="44">
        <v>0</v>
      </c>
      <c r="L45" s="44">
        <v>4</v>
      </c>
      <c r="M45" s="44">
        <v>1</v>
      </c>
      <c r="N45" s="44">
        <v>1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6"/>
      <c r="U45" s="46"/>
      <c r="V45" s="46">
        <v>12768.38</v>
      </c>
      <c r="W45" s="46"/>
      <c r="X45" s="46"/>
      <c r="Y45" s="46"/>
      <c r="Z45" s="46">
        <f t="shared" si="7"/>
        <v>3192.095</v>
      </c>
      <c r="AA45" s="46">
        <f t="shared" si="8"/>
        <v>0</v>
      </c>
      <c r="AB45" s="46">
        <f t="shared" si="9"/>
        <v>0</v>
      </c>
      <c r="AC45" s="46">
        <f t="shared" si="10"/>
        <v>0</v>
      </c>
      <c r="AD45" s="46">
        <f t="shared" si="11"/>
        <v>0</v>
      </c>
      <c r="AE45" s="46">
        <f t="shared" si="12"/>
        <v>0</v>
      </c>
      <c r="AF45" s="46">
        <f t="shared" si="13"/>
        <v>3192.095</v>
      </c>
      <c r="AG45" s="43">
        <v>50</v>
      </c>
      <c r="AH45" s="75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s="24" customFormat="1" ht="18">
      <c r="A46" s="22">
        <v>88</v>
      </c>
      <c r="B46" s="42">
        <v>42</v>
      </c>
      <c r="C46" s="54">
        <v>15172</v>
      </c>
      <c r="D46" s="43" t="s">
        <v>24</v>
      </c>
      <c r="E46" s="43">
        <v>9</v>
      </c>
      <c r="F46" s="56">
        <v>43361</v>
      </c>
      <c r="G46" s="43">
        <v>1</v>
      </c>
      <c r="H46" s="43">
        <v>1</v>
      </c>
      <c r="I46" s="43">
        <v>0</v>
      </c>
      <c r="J46" s="43">
        <v>1</v>
      </c>
      <c r="K46" s="44">
        <v>1</v>
      </c>
      <c r="L46" s="44">
        <v>2</v>
      </c>
      <c r="M46" s="44">
        <v>1</v>
      </c>
      <c r="N46" s="43">
        <v>1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6">
        <f>1997.76+6916.2</f>
        <v>8913.96</v>
      </c>
      <c r="U46" s="46"/>
      <c r="V46" s="46">
        <v>250.36</v>
      </c>
      <c r="W46" s="46"/>
      <c r="X46" s="46"/>
      <c r="Y46" s="46"/>
      <c r="Z46" s="46">
        <f t="shared" si="7"/>
        <v>2353.6699999999996</v>
      </c>
      <c r="AA46" s="46">
        <f t="shared" si="8"/>
        <v>0</v>
      </c>
      <c r="AB46" s="46">
        <f t="shared" si="9"/>
        <v>470.7339999999999</v>
      </c>
      <c r="AC46" s="46">
        <f t="shared" si="10"/>
        <v>0</v>
      </c>
      <c r="AD46" s="46">
        <f t="shared" si="11"/>
        <v>0</v>
      </c>
      <c r="AE46" s="46">
        <f t="shared" si="12"/>
        <v>0</v>
      </c>
      <c r="AF46" s="46">
        <f t="shared" si="13"/>
        <v>1882.9359999999997</v>
      </c>
      <c r="AG46" s="44">
        <v>50</v>
      </c>
      <c r="AH46" s="66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</row>
    <row r="47" spans="1:92" s="21" customFormat="1" ht="22.5" customHeight="1">
      <c r="A47" s="19"/>
      <c r="B47" s="53">
        <v>43</v>
      </c>
      <c r="C47" s="54">
        <v>2637</v>
      </c>
      <c r="D47" s="54" t="s">
        <v>25</v>
      </c>
      <c r="E47" s="43">
        <v>3</v>
      </c>
      <c r="F47" s="56">
        <v>43354</v>
      </c>
      <c r="G47" s="44">
        <v>1</v>
      </c>
      <c r="H47" s="43">
        <v>1</v>
      </c>
      <c r="I47" s="43">
        <v>1</v>
      </c>
      <c r="J47" s="43">
        <v>1</v>
      </c>
      <c r="K47" s="44">
        <v>0</v>
      </c>
      <c r="L47" s="44">
        <v>5</v>
      </c>
      <c r="M47" s="43">
        <v>1</v>
      </c>
      <c r="N47" s="43">
        <v>1</v>
      </c>
      <c r="O47" s="43">
        <v>0</v>
      </c>
      <c r="P47" s="43">
        <v>0</v>
      </c>
      <c r="Q47" s="43">
        <v>1</v>
      </c>
      <c r="R47" s="43">
        <v>0</v>
      </c>
      <c r="S47" s="43">
        <v>0</v>
      </c>
      <c r="T47" s="58"/>
      <c r="U47" s="58"/>
      <c r="V47" s="58">
        <f>5294+4100</f>
        <v>9394</v>
      </c>
      <c r="W47" s="58"/>
      <c r="X47" s="58"/>
      <c r="Y47" s="58"/>
      <c r="Z47" s="46">
        <f t="shared" si="7"/>
        <v>1878.8</v>
      </c>
      <c r="AA47" s="46">
        <f t="shared" si="8"/>
        <v>0</v>
      </c>
      <c r="AB47" s="46">
        <f t="shared" si="9"/>
        <v>0</v>
      </c>
      <c r="AC47" s="46">
        <f t="shared" si="10"/>
        <v>0</v>
      </c>
      <c r="AD47" s="46">
        <f t="shared" si="11"/>
        <v>0</v>
      </c>
      <c r="AE47" s="46">
        <f t="shared" si="12"/>
        <v>563.64</v>
      </c>
      <c r="AF47" s="46">
        <f t="shared" si="13"/>
        <v>1315.1599999999999</v>
      </c>
      <c r="AG47" s="44">
        <v>50</v>
      </c>
      <c r="AH47" s="66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</row>
    <row r="48" spans="1:92" s="21" customFormat="1" ht="22.5" customHeight="1">
      <c r="A48" s="19">
        <v>195</v>
      </c>
      <c r="B48" s="57">
        <v>44</v>
      </c>
      <c r="C48" s="54">
        <v>15884</v>
      </c>
      <c r="D48" s="43" t="s">
        <v>26</v>
      </c>
      <c r="E48" s="44">
        <v>3</v>
      </c>
      <c r="F48" s="59">
        <v>43354</v>
      </c>
      <c r="G48" s="44">
        <v>1</v>
      </c>
      <c r="H48" s="44">
        <v>1</v>
      </c>
      <c r="I48" s="44">
        <v>0</v>
      </c>
      <c r="J48" s="44">
        <v>1</v>
      </c>
      <c r="K48" s="44">
        <v>0</v>
      </c>
      <c r="L48" s="44">
        <v>4</v>
      </c>
      <c r="M48" s="44">
        <v>1</v>
      </c>
      <c r="N48" s="44">
        <v>1</v>
      </c>
      <c r="O48" s="44">
        <v>0</v>
      </c>
      <c r="P48" s="44">
        <v>1</v>
      </c>
      <c r="Q48" s="44">
        <v>0</v>
      </c>
      <c r="R48" s="44">
        <v>0</v>
      </c>
      <c r="S48" s="44">
        <v>0</v>
      </c>
      <c r="T48" s="46">
        <v>13320.66</v>
      </c>
      <c r="U48" s="46"/>
      <c r="V48" s="46"/>
      <c r="W48" s="46"/>
      <c r="X48" s="46"/>
      <c r="Y48" s="46"/>
      <c r="Z48" s="46">
        <f t="shared" si="7"/>
        <v>1665.0825</v>
      </c>
      <c r="AA48" s="46">
        <f t="shared" si="8"/>
        <v>0</v>
      </c>
      <c r="AB48" s="46">
        <f t="shared" si="9"/>
        <v>0</v>
      </c>
      <c r="AC48" s="46">
        <f t="shared" si="10"/>
        <v>0</v>
      </c>
      <c r="AD48" s="46">
        <f t="shared" si="11"/>
        <v>0</v>
      </c>
      <c r="AE48" s="46">
        <f t="shared" si="12"/>
        <v>0</v>
      </c>
      <c r="AF48" s="46">
        <f t="shared" si="13"/>
        <v>1665.0825</v>
      </c>
      <c r="AG48" s="44">
        <v>50</v>
      </c>
      <c r="AH48" s="66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s="21" customFormat="1" ht="22.5" customHeight="1">
      <c r="A49" s="19">
        <v>168</v>
      </c>
      <c r="B49" s="57">
        <v>45</v>
      </c>
      <c r="C49" s="54">
        <v>15813</v>
      </c>
      <c r="D49" s="43" t="s">
        <v>26</v>
      </c>
      <c r="E49" s="43">
        <v>3</v>
      </c>
      <c r="F49" s="56">
        <v>43360</v>
      </c>
      <c r="G49" s="43">
        <v>1</v>
      </c>
      <c r="H49" s="43">
        <v>1</v>
      </c>
      <c r="I49" s="43">
        <v>1</v>
      </c>
      <c r="J49" s="43">
        <v>1</v>
      </c>
      <c r="K49" s="44">
        <v>0</v>
      </c>
      <c r="L49" s="44">
        <v>5</v>
      </c>
      <c r="M49" s="44">
        <v>1</v>
      </c>
      <c r="N49" s="43">
        <v>1</v>
      </c>
      <c r="O49" s="43">
        <v>0</v>
      </c>
      <c r="P49" s="43">
        <v>1</v>
      </c>
      <c r="Q49" s="43">
        <v>0</v>
      </c>
      <c r="R49" s="43">
        <v>0</v>
      </c>
      <c r="S49" s="43">
        <v>0</v>
      </c>
      <c r="T49" s="46">
        <f>3466.75+3326.4</f>
        <v>6793.15</v>
      </c>
      <c r="U49" s="46"/>
      <c r="V49" s="46">
        <f>3545.4+8416.41-T49</f>
        <v>5168.66</v>
      </c>
      <c r="W49" s="46"/>
      <c r="X49" s="46"/>
      <c r="Y49" s="46"/>
      <c r="Z49" s="46">
        <f t="shared" si="7"/>
        <v>1713.047</v>
      </c>
      <c r="AA49" s="46">
        <f t="shared" si="8"/>
        <v>0</v>
      </c>
      <c r="AB49" s="46">
        <f t="shared" si="9"/>
        <v>0</v>
      </c>
      <c r="AC49" s="46">
        <f t="shared" si="10"/>
        <v>0</v>
      </c>
      <c r="AD49" s="46">
        <f t="shared" si="11"/>
        <v>0</v>
      </c>
      <c r="AE49" s="46">
        <f t="shared" si="12"/>
        <v>513.9141</v>
      </c>
      <c r="AF49" s="46">
        <f t="shared" si="13"/>
        <v>1199.1329</v>
      </c>
      <c r="AG49" s="44">
        <v>50</v>
      </c>
      <c r="AH49" s="66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s="24" customFormat="1" ht="22.5" customHeight="1">
      <c r="A50" s="22">
        <v>82</v>
      </c>
      <c r="B50" s="42">
        <v>46</v>
      </c>
      <c r="C50" s="44">
        <v>2675</v>
      </c>
      <c r="D50" s="44" t="s">
        <v>25</v>
      </c>
      <c r="E50" s="44">
        <v>3</v>
      </c>
      <c r="F50" s="59">
        <v>43349</v>
      </c>
      <c r="G50" s="44">
        <v>1</v>
      </c>
      <c r="H50" s="44">
        <v>1</v>
      </c>
      <c r="I50" s="44">
        <v>1</v>
      </c>
      <c r="J50" s="44">
        <v>1</v>
      </c>
      <c r="K50" s="44">
        <v>0</v>
      </c>
      <c r="L50" s="44">
        <v>3</v>
      </c>
      <c r="M50" s="44">
        <v>1</v>
      </c>
      <c r="N50" s="44">
        <v>1</v>
      </c>
      <c r="O50" s="44">
        <v>0</v>
      </c>
      <c r="P50" s="44">
        <v>1</v>
      </c>
      <c r="Q50" s="44">
        <v>0</v>
      </c>
      <c r="R50" s="44">
        <v>0</v>
      </c>
      <c r="S50" s="44">
        <v>0</v>
      </c>
      <c r="T50" s="46">
        <v>10783.66</v>
      </c>
      <c r="U50" s="46"/>
      <c r="V50" s="46"/>
      <c r="W50" s="46"/>
      <c r="X50" s="46"/>
      <c r="Y50" s="46"/>
      <c r="Z50" s="46">
        <f t="shared" si="7"/>
        <v>1797.2766666666666</v>
      </c>
      <c r="AA50" s="46">
        <f t="shared" si="8"/>
        <v>0</v>
      </c>
      <c r="AB50" s="46">
        <f t="shared" si="9"/>
        <v>0</v>
      </c>
      <c r="AC50" s="46">
        <f t="shared" si="10"/>
        <v>0</v>
      </c>
      <c r="AD50" s="46">
        <f t="shared" si="11"/>
        <v>0</v>
      </c>
      <c r="AE50" s="46">
        <f t="shared" si="12"/>
        <v>539.183</v>
      </c>
      <c r="AF50" s="46">
        <f t="shared" si="13"/>
        <v>1258.0936666666666</v>
      </c>
      <c r="AG50" s="43">
        <v>49</v>
      </c>
      <c r="AH50" s="76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</row>
    <row r="51" spans="1:92" s="24" customFormat="1" ht="18">
      <c r="A51" s="22">
        <v>176</v>
      </c>
      <c r="B51" s="53">
        <v>47</v>
      </c>
      <c r="C51" s="54">
        <v>15163</v>
      </c>
      <c r="D51" s="43" t="s">
        <v>24</v>
      </c>
      <c r="E51" s="54">
        <v>9</v>
      </c>
      <c r="F51" s="64">
        <v>43367</v>
      </c>
      <c r="G51" s="54">
        <v>1</v>
      </c>
      <c r="H51" s="54">
        <v>1</v>
      </c>
      <c r="I51" s="54">
        <v>0</v>
      </c>
      <c r="J51" s="54">
        <v>1</v>
      </c>
      <c r="K51" s="61">
        <v>0</v>
      </c>
      <c r="L51" s="61">
        <v>3</v>
      </c>
      <c r="M51" s="61">
        <v>1</v>
      </c>
      <c r="N51" s="54">
        <v>1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62">
        <v>2047.6</v>
      </c>
      <c r="U51" s="62"/>
      <c r="V51" s="62">
        <f>6980+2500</f>
        <v>9480</v>
      </c>
      <c r="W51" s="62"/>
      <c r="X51" s="62"/>
      <c r="Y51" s="62"/>
      <c r="Z51" s="62">
        <f t="shared" si="7"/>
        <v>3501.2666666666664</v>
      </c>
      <c r="AA51" s="62">
        <f t="shared" si="8"/>
        <v>0</v>
      </c>
      <c r="AB51" s="62">
        <f t="shared" si="9"/>
        <v>0</v>
      </c>
      <c r="AC51" s="62">
        <f t="shared" si="10"/>
        <v>0</v>
      </c>
      <c r="AD51" s="62">
        <f t="shared" si="11"/>
        <v>0</v>
      </c>
      <c r="AE51" s="62">
        <f t="shared" si="12"/>
        <v>0</v>
      </c>
      <c r="AF51" s="62">
        <f t="shared" si="13"/>
        <v>3501.2666666666664</v>
      </c>
      <c r="AG51" s="54">
        <v>49</v>
      </c>
      <c r="AH51" s="66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</row>
    <row r="52" spans="1:34" ht="18">
      <c r="A52" s="3"/>
      <c r="B52" s="57">
        <v>48</v>
      </c>
      <c r="C52" s="54">
        <v>15138</v>
      </c>
      <c r="D52" s="43" t="s">
        <v>24</v>
      </c>
      <c r="E52" s="44">
        <v>9</v>
      </c>
      <c r="F52" s="59">
        <v>43367</v>
      </c>
      <c r="G52" s="44">
        <v>1</v>
      </c>
      <c r="H52" s="44">
        <v>1</v>
      </c>
      <c r="I52" s="44">
        <v>1</v>
      </c>
      <c r="J52" s="44">
        <v>1</v>
      </c>
      <c r="K52" s="44">
        <v>0</v>
      </c>
      <c r="L52" s="44">
        <v>4</v>
      </c>
      <c r="M52" s="44">
        <v>1</v>
      </c>
      <c r="N52" s="44">
        <v>1</v>
      </c>
      <c r="O52" s="44">
        <v>1</v>
      </c>
      <c r="P52" s="44">
        <v>0</v>
      </c>
      <c r="Q52" s="44">
        <v>0</v>
      </c>
      <c r="R52" s="44">
        <v>0</v>
      </c>
      <c r="S52" s="44">
        <v>0</v>
      </c>
      <c r="T52" s="46"/>
      <c r="U52" s="46"/>
      <c r="V52" s="46">
        <v>2208.6</v>
      </c>
      <c r="W52" s="46"/>
      <c r="X52" s="46"/>
      <c r="Y52" s="46"/>
      <c r="Z52" s="46">
        <f t="shared" si="7"/>
        <v>552.15</v>
      </c>
      <c r="AA52" s="46">
        <f t="shared" si="8"/>
        <v>165.64499999999998</v>
      </c>
      <c r="AB52" s="46">
        <f t="shared" si="9"/>
        <v>0</v>
      </c>
      <c r="AC52" s="46">
        <f t="shared" si="10"/>
        <v>0</v>
      </c>
      <c r="AD52" s="46">
        <f t="shared" si="11"/>
        <v>0</v>
      </c>
      <c r="AE52" s="46">
        <f t="shared" si="12"/>
        <v>165.64499999999998</v>
      </c>
      <c r="AF52" s="46">
        <f t="shared" si="13"/>
        <v>220.86</v>
      </c>
      <c r="AG52" s="44">
        <v>49</v>
      </c>
      <c r="AH52" s="66"/>
    </row>
    <row r="53" spans="1:92" s="21" customFormat="1" ht="22.5" customHeight="1">
      <c r="A53" s="19">
        <v>110</v>
      </c>
      <c r="B53" s="57">
        <v>49</v>
      </c>
      <c r="C53" s="54">
        <v>15694</v>
      </c>
      <c r="D53" s="43" t="s">
        <v>26</v>
      </c>
      <c r="E53" s="43">
        <v>5</v>
      </c>
      <c r="F53" s="56">
        <v>43356</v>
      </c>
      <c r="G53" s="43">
        <v>1</v>
      </c>
      <c r="H53" s="43">
        <v>1</v>
      </c>
      <c r="I53" s="43">
        <v>0</v>
      </c>
      <c r="J53" s="43">
        <v>1</v>
      </c>
      <c r="K53" s="44">
        <v>0</v>
      </c>
      <c r="L53" s="44">
        <v>6</v>
      </c>
      <c r="M53" s="44">
        <v>1</v>
      </c>
      <c r="N53" s="43">
        <v>1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46">
        <v>1908</v>
      </c>
      <c r="U53" s="46"/>
      <c r="V53" s="46">
        <f>6743.34-T53</f>
        <v>4835.34</v>
      </c>
      <c r="W53" s="46"/>
      <c r="X53" s="46"/>
      <c r="Y53" s="46"/>
      <c r="Z53" s="46">
        <f t="shared" si="7"/>
        <v>964.89</v>
      </c>
      <c r="AA53" s="46">
        <f t="shared" si="8"/>
        <v>0</v>
      </c>
      <c r="AB53" s="46">
        <f t="shared" si="9"/>
        <v>0</v>
      </c>
      <c r="AC53" s="46">
        <f t="shared" si="10"/>
        <v>0</v>
      </c>
      <c r="AD53" s="46">
        <f t="shared" si="11"/>
        <v>0</v>
      </c>
      <c r="AE53" s="46">
        <f t="shared" si="12"/>
        <v>0</v>
      </c>
      <c r="AF53" s="46">
        <f t="shared" si="13"/>
        <v>964.89</v>
      </c>
      <c r="AG53" s="44">
        <v>49</v>
      </c>
      <c r="AH53" s="66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s="24" customFormat="1" ht="18">
      <c r="A54" s="22">
        <v>21</v>
      </c>
      <c r="B54" s="42">
        <v>50</v>
      </c>
      <c r="C54" s="54">
        <v>15486</v>
      </c>
      <c r="D54" s="43" t="s">
        <v>26</v>
      </c>
      <c r="E54" s="43">
        <v>7</v>
      </c>
      <c r="F54" s="56">
        <v>43372</v>
      </c>
      <c r="G54" s="44">
        <v>1</v>
      </c>
      <c r="H54" s="43">
        <v>1</v>
      </c>
      <c r="I54" s="43">
        <v>0</v>
      </c>
      <c r="J54" s="43">
        <v>1</v>
      </c>
      <c r="K54" s="44">
        <v>0</v>
      </c>
      <c r="L54" s="44">
        <v>5</v>
      </c>
      <c r="M54" s="43">
        <v>1</v>
      </c>
      <c r="N54" s="43">
        <v>1</v>
      </c>
      <c r="O54" s="43">
        <v>1</v>
      </c>
      <c r="P54" s="43">
        <v>0</v>
      </c>
      <c r="Q54" s="43">
        <v>1</v>
      </c>
      <c r="R54" s="43">
        <v>0</v>
      </c>
      <c r="S54" s="43">
        <v>0</v>
      </c>
      <c r="T54" s="58">
        <v>10041.09</v>
      </c>
      <c r="U54" s="58">
        <v>2934.26</v>
      </c>
      <c r="V54" s="58">
        <f>10190.77+3013.14-T54-U54</f>
        <v>228.5599999999995</v>
      </c>
      <c r="W54" s="58"/>
      <c r="X54" s="58"/>
      <c r="Y54" s="58"/>
      <c r="Z54" s="46">
        <f t="shared" si="7"/>
        <v>1548.6452</v>
      </c>
      <c r="AA54" s="46">
        <f t="shared" si="8"/>
        <v>464.59355999999997</v>
      </c>
      <c r="AB54" s="46">
        <f t="shared" si="9"/>
        <v>0</v>
      </c>
      <c r="AC54" s="46">
        <f t="shared" si="10"/>
        <v>0</v>
      </c>
      <c r="AD54" s="46">
        <f t="shared" si="11"/>
        <v>0</v>
      </c>
      <c r="AE54" s="46">
        <f t="shared" si="12"/>
        <v>0</v>
      </c>
      <c r="AF54" s="46">
        <f t="shared" si="13"/>
        <v>1084.05164</v>
      </c>
      <c r="AG54" s="44">
        <v>49</v>
      </c>
      <c r="AH54" s="66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</row>
    <row r="55" spans="1:92" s="21" customFormat="1" ht="18">
      <c r="A55" s="19">
        <v>61</v>
      </c>
      <c r="B55" s="53">
        <v>51</v>
      </c>
      <c r="C55" s="54">
        <v>15315</v>
      </c>
      <c r="D55" s="43" t="s">
        <v>26</v>
      </c>
      <c r="E55" s="44">
        <v>9</v>
      </c>
      <c r="F55" s="59">
        <v>43372</v>
      </c>
      <c r="G55" s="44">
        <v>1</v>
      </c>
      <c r="H55" s="44">
        <v>1</v>
      </c>
      <c r="I55" s="44">
        <v>0</v>
      </c>
      <c r="J55" s="44">
        <v>1</v>
      </c>
      <c r="K55" s="44">
        <v>1</v>
      </c>
      <c r="L55" s="44">
        <v>5</v>
      </c>
      <c r="M55" s="44">
        <v>1</v>
      </c>
      <c r="N55" s="44">
        <v>1</v>
      </c>
      <c r="O55" s="44">
        <v>1</v>
      </c>
      <c r="P55" s="44">
        <v>1</v>
      </c>
      <c r="Q55" s="44">
        <v>0</v>
      </c>
      <c r="R55" s="44">
        <v>0</v>
      </c>
      <c r="S55" s="44">
        <v>0</v>
      </c>
      <c r="T55" s="46">
        <v>3052</v>
      </c>
      <c r="U55" s="46"/>
      <c r="V55" s="46">
        <f>5937.2-T55</f>
        <v>2885.2</v>
      </c>
      <c r="W55" s="46"/>
      <c r="X55" s="46"/>
      <c r="Y55" s="46"/>
      <c r="Z55" s="46">
        <f t="shared" si="7"/>
        <v>882.24</v>
      </c>
      <c r="AA55" s="46">
        <f t="shared" si="8"/>
        <v>264.67199999999997</v>
      </c>
      <c r="AB55" s="46">
        <f t="shared" si="9"/>
        <v>176.448</v>
      </c>
      <c r="AC55" s="46">
        <f t="shared" si="10"/>
        <v>0</v>
      </c>
      <c r="AD55" s="46">
        <f t="shared" si="11"/>
        <v>0</v>
      </c>
      <c r="AE55" s="46">
        <f t="shared" si="12"/>
        <v>0</v>
      </c>
      <c r="AF55" s="46">
        <f t="shared" si="13"/>
        <v>441.12</v>
      </c>
      <c r="AG55" s="43">
        <v>47</v>
      </c>
      <c r="AH55" s="8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s="7" customFormat="1" ht="22.5" customHeight="1">
      <c r="A56" s="9"/>
      <c r="B56" s="57">
        <v>52</v>
      </c>
      <c r="C56" s="54">
        <v>15392</v>
      </c>
      <c r="D56" s="43" t="s">
        <v>24</v>
      </c>
      <c r="E56" s="43">
        <v>7</v>
      </c>
      <c r="F56" s="56">
        <v>43353</v>
      </c>
      <c r="G56" s="43">
        <v>1</v>
      </c>
      <c r="H56" s="43">
        <v>1</v>
      </c>
      <c r="I56" s="44">
        <v>1</v>
      </c>
      <c r="J56" s="43">
        <v>1</v>
      </c>
      <c r="K56" s="44">
        <v>0</v>
      </c>
      <c r="L56" s="44">
        <v>4</v>
      </c>
      <c r="M56" s="44">
        <v>1</v>
      </c>
      <c r="N56" s="43">
        <v>1</v>
      </c>
      <c r="O56" s="43">
        <v>1</v>
      </c>
      <c r="P56" s="43">
        <v>0</v>
      </c>
      <c r="Q56" s="43">
        <v>0</v>
      </c>
      <c r="R56" s="43">
        <v>0</v>
      </c>
      <c r="S56" s="43">
        <v>1</v>
      </c>
      <c r="T56" s="46">
        <f>4201.89+5491.56+1135.77</f>
        <v>10829.220000000001</v>
      </c>
      <c r="U56" s="46"/>
      <c r="V56" s="46">
        <f>828+0.02+0.02</f>
        <v>828.04</v>
      </c>
      <c r="W56" s="46"/>
      <c r="X56" s="46"/>
      <c r="Y56" s="46"/>
      <c r="Z56" s="46">
        <f t="shared" si="7"/>
        <v>1560.6625000000001</v>
      </c>
      <c r="AA56" s="46">
        <f t="shared" si="8"/>
        <v>468.19875</v>
      </c>
      <c r="AB56" s="46">
        <f t="shared" si="9"/>
        <v>0</v>
      </c>
      <c r="AC56" s="46">
        <f t="shared" si="10"/>
        <v>0</v>
      </c>
      <c r="AD56" s="46">
        <f t="shared" si="11"/>
        <v>468.19875</v>
      </c>
      <c r="AE56" s="46">
        <f t="shared" si="12"/>
        <v>468.19875</v>
      </c>
      <c r="AF56" s="46">
        <f t="shared" si="13"/>
        <v>156.06625000000008</v>
      </c>
      <c r="AG56" s="44">
        <v>46</v>
      </c>
      <c r="AH56" s="66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</row>
    <row r="57" spans="1:92" s="24" customFormat="1" ht="18">
      <c r="A57" s="22"/>
      <c r="B57" s="57">
        <v>53</v>
      </c>
      <c r="C57" s="54">
        <v>15202</v>
      </c>
      <c r="D57" s="43" t="s">
        <v>24</v>
      </c>
      <c r="E57" s="44">
        <v>9</v>
      </c>
      <c r="F57" s="59">
        <v>43355</v>
      </c>
      <c r="G57" s="44">
        <v>1</v>
      </c>
      <c r="H57" s="44">
        <v>1</v>
      </c>
      <c r="I57" s="44">
        <v>1</v>
      </c>
      <c r="J57" s="44">
        <v>1</v>
      </c>
      <c r="K57" s="44">
        <v>0</v>
      </c>
      <c r="L57" s="44">
        <v>4</v>
      </c>
      <c r="M57" s="44">
        <v>1</v>
      </c>
      <c r="N57" s="44">
        <v>1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6">
        <f>7452.54+3500</f>
        <v>10952.54</v>
      </c>
      <c r="U57" s="46"/>
      <c r="V57" s="46"/>
      <c r="W57" s="46"/>
      <c r="X57" s="46"/>
      <c r="Y57" s="46"/>
      <c r="Z57" s="46">
        <f t="shared" si="7"/>
        <v>1369.0675</v>
      </c>
      <c r="AA57" s="46">
        <f t="shared" si="8"/>
        <v>0</v>
      </c>
      <c r="AB57" s="46">
        <f t="shared" si="9"/>
        <v>0</v>
      </c>
      <c r="AC57" s="46">
        <f t="shared" si="10"/>
        <v>0</v>
      </c>
      <c r="AD57" s="46">
        <f t="shared" si="11"/>
        <v>0</v>
      </c>
      <c r="AE57" s="46">
        <f t="shared" si="12"/>
        <v>410.72025</v>
      </c>
      <c r="AF57" s="46">
        <f t="shared" si="13"/>
        <v>958.34725</v>
      </c>
      <c r="AG57" s="43">
        <v>46</v>
      </c>
      <c r="AH57" s="66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</row>
    <row r="58" spans="1:34" ht="18">
      <c r="A58" s="3"/>
      <c r="B58" s="42">
        <v>54</v>
      </c>
      <c r="C58" s="54">
        <v>15840</v>
      </c>
      <c r="D58" s="43" t="s">
        <v>26</v>
      </c>
      <c r="E58" s="44">
        <v>3</v>
      </c>
      <c r="F58" s="59">
        <v>43349</v>
      </c>
      <c r="G58" s="44">
        <v>1</v>
      </c>
      <c r="H58" s="44">
        <v>1</v>
      </c>
      <c r="I58" s="44">
        <v>1</v>
      </c>
      <c r="J58" s="44">
        <v>1</v>
      </c>
      <c r="K58" s="44">
        <v>0</v>
      </c>
      <c r="L58" s="44">
        <v>4</v>
      </c>
      <c r="M58" s="44">
        <v>1</v>
      </c>
      <c r="N58" s="44">
        <v>1</v>
      </c>
      <c r="O58" s="44">
        <v>0</v>
      </c>
      <c r="P58" s="44">
        <v>1</v>
      </c>
      <c r="Q58" s="44">
        <v>0</v>
      </c>
      <c r="R58" s="44">
        <v>0</v>
      </c>
      <c r="S58" s="44">
        <v>0</v>
      </c>
      <c r="T58" s="46">
        <f>9175.81+6278.37</f>
        <v>15454.18</v>
      </c>
      <c r="U58" s="46"/>
      <c r="V58" s="46"/>
      <c r="W58" s="46"/>
      <c r="X58" s="46"/>
      <c r="Y58" s="46"/>
      <c r="Z58" s="46">
        <f t="shared" si="7"/>
        <v>1931.7725</v>
      </c>
      <c r="AA58" s="46">
        <f t="shared" si="8"/>
        <v>0</v>
      </c>
      <c r="AB58" s="46">
        <f t="shared" si="9"/>
        <v>0</v>
      </c>
      <c r="AC58" s="46">
        <f t="shared" si="10"/>
        <v>0</v>
      </c>
      <c r="AD58" s="46">
        <f t="shared" si="11"/>
        <v>0</v>
      </c>
      <c r="AE58" s="46">
        <f t="shared" si="12"/>
        <v>579.53175</v>
      </c>
      <c r="AF58" s="46">
        <f t="shared" si="13"/>
        <v>1352.24075</v>
      </c>
      <c r="AG58" s="44">
        <v>46</v>
      </c>
      <c r="AH58" s="66"/>
    </row>
    <row r="59" spans="1:92" s="24" customFormat="1" ht="22.5" customHeight="1">
      <c r="A59" s="22">
        <v>213</v>
      </c>
      <c r="B59" s="53">
        <v>55</v>
      </c>
      <c r="C59" s="54">
        <v>15569</v>
      </c>
      <c r="D59" s="43" t="s">
        <v>24</v>
      </c>
      <c r="E59" s="43">
        <v>5</v>
      </c>
      <c r="F59" s="56">
        <v>43373</v>
      </c>
      <c r="G59" s="44">
        <v>1</v>
      </c>
      <c r="H59" s="43">
        <v>1</v>
      </c>
      <c r="I59" s="43">
        <v>0</v>
      </c>
      <c r="J59" s="43">
        <v>1</v>
      </c>
      <c r="K59" s="44">
        <v>0</v>
      </c>
      <c r="L59" s="44">
        <v>3</v>
      </c>
      <c r="M59" s="43">
        <v>1</v>
      </c>
      <c r="N59" s="43">
        <v>1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58">
        <v>17568.83</v>
      </c>
      <c r="U59" s="58"/>
      <c r="V59" s="58">
        <v>287.57</v>
      </c>
      <c r="W59" s="58"/>
      <c r="X59" s="58"/>
      <c r="Y59" s="58"/>
      <c r="Z59" s="46">
        <f t="shared" si="7"/>
        <v>3023.9950000000003</v>
      </c>
      <c r="AA59" s="46">
        <f t="shared" si="8"/>
        <v>0</v>
      </c>
      <c r="AB59" s="46">
        <f t="shared" si="9"/>
        <v>0</v>
      </c>
      <c r="AC59" s="46">
        <f t="shared" si="10"/>
        <v>0</v>
      </c>
      <c r="AD59" s="46">
        <f t="shared" si="11"/>
        <v>0</v>
      </c>
      <c r="AE59" s="46">
        <f t="shared" si="12"/>
        <v>0</v>
      </c>
      <c r="AF59" s="46">
        <f t="shared" si="13"/>
        <v>3023.9950000000003</v>
      </c>
      <c r="AG59" s="44">
        <v>45</v>
      </c>
      <c r="AH59" s="66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</row>
    <row r="60" spans="1:92" s="7" customFormat="1" ht="22.5" customHeight="1">
      <c r="A60" s="9"/>
      <c r="B60" s="57">
        <v>56</v>
      </c>
      <c r="C60" s="54">
        <v>15859</v>
      </c>
      <c r="D60" s="43" t="s">
        <v>26</v>
      </c>
      <c r="E60" s="44">
        <v>3</v>
      </c>
      <c r="F60" s="59">
        <v>43343</v>
      </c>
      <c r="G60" s="44">
        <v>1</v>
      </c>
      <c r="H60" s="44">
        <v>1</v>
      </c>
      <c r="I60" s="44">
        <v>0</v>
      </c>
      <c r="J60" s="44">
        <v>1</v>
      </c>
      <c r="K60" s="44">
        <v>0</v>
      </c>
      <c r="L60" s="44">
        <v>3</v>
      </c>
      <c r="M60" s="44">
        <v>1</v>
      </c>
      <c r="N60" s="44">
        <v>1</v>
      </c>
      <c r="O60" s="44">
        <v>0</v>
      </c>
      <c r="P60" s="44">
        <v>0</v>
      </c>
      <c r="Q60" s="44">
        <v>0</v>
      </c>
      <c r="R60" s="44">
        <v>1</v>
      </c>
      <c r="S60" s="44">
        <v>0</v>
      </c>
      <c r="T60" s="46">
        <v>7891.56</v>
      </c>
      <c r="U60" s="46"/>
      <c r="V60" s="46"/>
      <c r="W60" s="46"/>
      <c r="X60" s="46"/>
      <c r="Y60" s="46"/>
      <c r="Z60" s="46">
        <f t="shared" si="7"/>
        <v>1315.26</v>
      </c>
      <c r="AA60" s="46">
        <f t="shared" si="8"/>
        <v>0</v>
      </c>
      <c r="AB60" s="46">
        <f t="shared" si="9"/>
        <v>0</v>
      </c>
      <c r="AC60" s="46">
        <f t="shared" si="10"/>
        <v>131.526</v>
      </c>
      <c r="AD60" s="46">
        <f t="shared" si="11"/>
        <v>0</v>
      </c>
      <c r="AE60" s="46">
        <f t="shared" si="12"/>
        <v>0</v>
      </c>
      <c r="AF60" s="46">
        <f t="shared" si="13"/>
        <v>1183.734</v>
      </c>
      <c r="AG60" s="44">
        <v>45</v>
      </c>
      <c r="AH60" s="66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</row>
    <row r="61" spans="1:92" s="21" customFormat="1" ht="22.5" customHeight="1">
      <c r="A61" s="19"/>
      <c r="B61" s="57">
        <v>57</v>
      </c>
      <c r="C61" s="54">
        <v>15676</v>
      </c>
      <c r="D61" s="43" t="s">
        <v>26</v>
      </c>
      <c r="E61" s="43">
        <v>5</v>
      </c>
      <c r="F61" s="56">
        <v>43363</v>
      </c>
      <c r="G61" s="44">
        <v>1</v>
      </c>
      <c r="H61" s="43">
        <v>1</v>
      </c>
      <c r="I61" s="43">
        <v>0</v>
      </c>
      <c r="J61" s="43">
        <v>1</v>
      </c>
      <c r="K61" s="44">
        <v>0</v>
      </c>
      <c r="L61" s="44">
        <v>4</v>
      </c>
      <c r="M61" s="43">
        <v>1</v>
      </c>
      <c r="N61" s="43">
        <v>1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58">
        <f>8602.96+14022.15</f>
        <v>22625.11</v>
      </c>
      <c r="U61" s="58"/>
      <c r="V61" s="58"/>
      <c r="W61" s="58"/>
      <c r="X61" s="58"/>
      <c r="Y61" s="58"/>
      <c r="Z61" s="46">
        <f t="shared" si="7"/>
        <v>2828.13875</v>
      </c>
      <c r="AA61" s="46">
        <f t="shared" si="8"/>
        <v>0</v>
      </c>
      <c r="AB61" s="46">
        <f t="shared" si="9"/>
        <v>0</v>
      </c>
      <c r="AC61" s="46">
        <f t="shared" si="10"/>
        <v>0</v>
      </c>
      <c r="AD61" s="46">
        <f t="shared" si="11"/>
        <v>0</v>
      </c>
      <c r="AE61" s="46">
        <f t="shared" si="12"/>
        <v>0</v>
      </c>
      <c r="AF61" s="46">
        <f t="shared" si="13"/>
        <v>2828.13875</v>
      </c>
      <c r="AG61" s="44">
        <v>45</v>
      </c>
      <c r="AH61" s="66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</row>
    <row r="62" spans="1:34" ht="18">
      <c r="A62" s="3"/>
      <c r="B62" s="42">
        <v>58</v>
      </c>
      <c r="C62" s="54">
        <v>15749</v>
      </c>
      <c r="D62" s="43" t="s">
        <v>26</v>
      </c>
      <c r="E62" s="43">
        <v>3</v>
      </c>
      <c r="F62" s="56">
        <v>43367</v>
      </c>
      <c r="G62" s="44">
        <v>1</v>
      </c>
      <c r="H62" s="43">
        <v>1</v>
      </c>
      <c r="I62" s="43">
        <v>0</v>
      </c>
      <c r="J62" s="43">
        <v>1</v>
      </c>
      <c r="K62" s="44">
        <v>0</v>
      </c>
      <c r="L62" s="44">
        <v>4</v>
      </c>
      <c r="M62" s="43">
        <v>1</v>
      </c>
      <c r="N62" s="43">
        <v>1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58"/>
      <c r="U62" s="58"/>
      <c r="V62" s="58">
        <f>6509.91+2850.09</f>
        <v>9360</v>
      </c>
      <c r="W62" s="58"/>
      <c r="X62" s="58"/>
      <c r="Y62" s="58"/>
      <c r="Z62" s="46">
        <f t="shared" si="7"/>
        <v>2340</v>
      </c>
      <c r="AA62" s="46">
        <f t="shared" si="8"/>
        <v>0</v>
      </c>
      <c r="AB62" s="46">
        <f t="shared" si="9"/>
        <v>0</v>
      </c>
      <c r="AC62" s="46">
        <f t="shared" si="10"/>
        <v>0</v>
      </c>
      <c r="AD62" s="46">
        <f t="shared" si="11"/>
        <v>0</v>
      </c>
      <c r="AE62" s="46">
        <f t="shared" si="12"/>
        <v>0</v>
      </c>
      <c r="AF62" s="46">
        <f t="shared" si="13"/>
        <v>2340</v>
      </c>
      <c r="AG62" s="44">
        <v>45</v>
      </c>
      <c r="AH62" s="66"/>
    </row>
    <row r="63" spans="1:92" s="21" customFormat="1" ht="22.5" customHeight="1">
      <c r="A63" s="19">
        <v>101</v>
      </c>
      <c r="B63" s="53">
        <v>59</v>
      </c>
      <c r="C63" s="43">
        <v>2741</v>
      </c>
      <c r="D63" s="43" t="s">
        <v>25</v>
      </c>
      <c r="E63" s="43">
        <v>3</v>
      </c>
      <c r="F63" s="56">
        <v>43370</v>
      </c>
      <c r="G63" s="61">
        <v>1</v>
      </c>
      <c r="H63" s="54">
        <v>1</v>
      </c>
      <c r="I63" s="54">
        <v>0</v>
      </c>
      <c r="J63" s="54">
        <v>1</v>
      </c>
      <c r="K63" s="61">
        <v>0</v>
      </c>
      <c r="L63" s="61">
        <v>3</v>
      </c>
      <c r="M63" s="54">
        <v>1</v>
      </c>
      <c r="N63" s="54">
        <v>1</v>
      </c>
      <c r="O63" s="54">
        <v>0</v>
      </c>
      <c r="P63" s="54">
        <v>0</v>
      </c>
      <c r="Q63" s="54">
        <v>1</v>
      </c>
      <c r="R63" s="54">
        <v>0</v>
      </c>
      <c r="S63" s="54">
        <v>1</v>
      </c>
      <c r="T63" s="63"/>
      <c r="U63" s="63">
        <f>10415.55-V63</f>
        <v>8964.269999999999</v>
      </c>
      <c r="V63" s="63">
        <v>1451.28</v>
      </c>
      <c r="W63" s="63"/>
      <c r="X63" s="63"/>
      <c r="Y63" s="63"/>
      <c r="Z63" s="62">
        <f t="shared" si="7"/>
        <v>3023.636499999999</v>
      </c>
      <c r="AA63" s="62">
        <f t="shared" si="8"/>
        <v>0</v>
      </c>
      <c r="AB63" s="62">
        <f t="shared" si="9"/>
        <v>0</v>
      </c>
      <c r="AC63" s="62">
        <f t="shared" si="10"/>
        <v>0</v>
      </c>
      <c r="AD63" s="62">
        <f t="shared" si="11"/>
        <v>907.0909499999997</v>
      </c>
      <c r="AE63" s="62">
        <f t="shared" si="12"/>
        <v>0</v>
      </c>
      <c r="AF63" s="62">
        <f t="shared" si="13"/>
        <v>2116.5455499999994</v>
      </c>
      <c r="AG63" s="54">
        <v>44.5</v>
      </c>
      <c r="AH63" s="77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s="24" customFormat="1" ht="18">
      <c r="A64" s="22"/>
      <c r="B64" s="57">
        <v>60</v>
      </c>
      <c r="C64" s="43">
        <v>2380</v>
      </c>
      <c r="D64" s="43" t="s">
        <v>25</v>
      </c>
      <c r="E64" s="43">
        <v>9</v>
      </c>
      <c r="F64" s="56">
        <v>43373</v>
      </c>
      <c r="G64" s="44">
        <v>1</v>
      </c>
      <c r="H64" s="43">
        <v>1</v>
      </c>
      <c r="I64" s="43">
        <v>0</v>
      </c>
      <c r="J64" s="43">
        <v>1</v>
      </c>
      <c r="K64" s="44">
        <v>0</v>
      </c>
      <c r="L64" s="44">
        <v>5</v>
      </c>
      <c r="M64" s="43">
        <v>1</v>
      </c>
      <c r="N64" s="43">
        <v>1</v>
      </c>
      <c r="O64" s="43">
        <v>0</v>
      </c>
      <c r="P64" s="43">
        <v>0</v>
      </c>
      <c r="Q64" s="43">
        <v>1</v>
      </c>
      <c r="R64" s="43">
        <v>0</v>
      </c>
      <c r="S64" s="43">
        <v>1</v>
      </c>
      <c r="T64" s="58">
        <f>9010.28+458.15+389.19</f>
        <v>9857.62</v>
      </c>
      <c r="U64" s="58"/>
      <c r="V64" s="58">
        <f>9718.45+389.19-T64</f>
        <v>250.02000000000044</v>
      </c>
      <c r="W64" s="58"/>
      <c r="X64" s="58"/>
      <c r="Y64" s="58"/>
      <c r="Z64" s="46">
        <f t="shared" si="7"/>
        <v>1035.766</v>
      </c>
      <c r="AA64" s="46">
        <f t="shared" si="8"/>
        <v>0</v>
      </c>
      <c r="AB64" s="46">
        <f t="shared" si="9"/>
        <v>0</v>
      </c>
      <c r="AC64" s="46">
        <f t="shared" si="10"/>
        <v>0</v>
      </c>
      <c r="AD64" s="46">
        <f t="shared" si="11"/>
        <v>310.7298</v>
      </c>
      <c r="AE64" s="46">
        <f t="shared" si="12"/>
        <v>0</v>
      </c>
      <c r="AF64" s="46">
        <f t="shared" si="13"/>
        <v>725.0362</v>
      </c>
      <c r="AG64" s="44">
        <v>44.5</v>
      </c>
      <c r="AH64" s="66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</row>
    <row r="65" spans="1:92" s="18" customFormat="1" ht="22.5" customHeight="1">
      <c r="A65" s="16">
        <v>64</v>
      </c>
      <c r="B65" s="57">
        <v>61</v>
      </c>
      <c r="C65" s="54">
        <v>15402</v>
      </c>
      <c r="D65" s="43" t="s">
        <v>24</v>
      </c>
      <c r="E65" s="44">
        <v>7</v>
      </c>
      <c r="F65" s="59">
        <v>43367</v>
      </c>
      <c r="G65" s="44">
        <v>1</v>
      </c>
      <c r="H65" s="44">
        <v>1</v>
      </c>
      <c r="I65" s="44">
        <v>0</v>
      </c>
      <c r="J65" s="44">
        <v>1</v>
      </c>
      <c r="K65" s="44">
        <v>0</v>
      </c>
      <c r="L65" s="44">
        <v>4</v>
      </c>
      <c r="M65" s="44">
        <v>1</v>
      </c>
      <c r="N65" s="44">
        <v>1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6">
        <f>608.1+7692.94+2507.1</f>
        <v>10808.14</v>
      </c>
      <c r="U65" s="46"/>
      <c r="V65" s="46"/>
      <c r="W65" s="46"/>
      <c r="X65" s="46"/>
      <c r="Y65" s="46"/>
      <c r="Z65" s="46">
        <f t="shared" si="7"/>
        <v>1351.0175</v>
      </c>
      <c r="AA65" s="46">
        <f t="shared" si="8"/>
        <v>0</v>
      </c>
      <c r="AB65" s="46">
        <f t="shared" si="9"/>
        <v>0</v>
      </c>
      <c r="AC65" s="46">
        <f t="shared" si="10"/>
        <v>0</v>
      </c>
      <c r="AD65" s="46">
        <f t="shared" si="11"/>
        <v>0</v>
      </c>
      <c r="AE65" s="46">
        <f t="shared" si="12"/>
        <v>0</v>
      </c>
      <c r="AF65" s="46">
        <f t="shared" si="13"/>
        <v>1351.0175</v>
      </c>
      <c r="AG65" s="43">
        <v>44</v>
      </c>
      <c r="AH65" s="76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</row>
    <row r="66" spans="1:92" s="24" customFormat="1" ht="18">
      <c r="A66" s="22">
        <v>39</v>
      </c>
      <c r="B66" s="42">
        <v>62</v>
      </c>
      <c r="C66" s="54">
        <v>15298</v>
      </c>
      <c r="D66" s="43" t="s">
        <v>26</v>
      </c>
      <c r="E66" s="43">
        <v>9</v>
      </c>
      <c r="F66" s="56">
        <v>43367</v>
      </c>
      <c r="G66" s="43">
        <v>1</v>
      </c>
      <c r="H66" s="43">
        <v>1</v>
      </c>
      <c r="I66" s="43">
        <v>0</v>
      </c>
      <c r="J66" s="43">
        <v>1</v>
      </c>
      <c r="K66" s="44">
        <v>0</v>
      </c>
      <c r="L66" s="44">
        <v>5</v>
      </c>
      <c r="M66" s="44">
        <v>1</v>
      </c>
      <c r="N66" s="43">
        <v>1</v>
      </c>
      <c r="O66" s="43">
        <v>0</v>
      </c>
      <c r="P66" s="43">
        <v>0</v>
      </c>
      <c r="Q66" s="43">
        <v>1</v>
      </c>
      <c r="R66" s="43">
        <v>0</v>
      </c>
      <c r="S66" s="43">
        <v>0</v>
      </c>
      <c r="T66" s="46">
        <f>13649.31+30.07</f>
        <v>13679.38</v>
      </c>
      <c r="U66" s="46"/>
      <c r="V66" s="46">
        <v>1140</v>
      </c>
      <c r="W66" s="46"/>
      <c r="X66" s="46"/>
      <c r="Y66" s="46"/>
      <c r="Z66" s="46">
        <f t="shared" si="7"/>
        <v>1595.9379999999999</v>
      </c>
      <c r="AA66" s="46">
        <f t="shared" si="8"/>
        <v>0</v>
      </c>
      <c r="AB66" s="46">
        <f t="shared" si="9"/>
        <v>0</v>
      </c>
      <c r="AC66" s="46">
        <f t="shared" si="10"/>
        <v>0</v>
      </c>
      <c r="AD66" s="46">
        <f t="shared" si="11"/>
        <v>0</v>
      </c>
      <c r="AE66" s="46">
        <f t="shared" si="12"/>
        <v>0</v>
      </c>
      <c r="AF66" s="46">
        <f t="shared" si="13"/>
        <v>1595.9379999999999</v>
      </c>
      <c r="AG66" s="44">
        <v>44</v>
      </c>
      <c r="AH66" s="80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</row>
    <row r="67" spans="1:92" s="18" customFormat="1" ht="22.5" customHeight="1">
      <c r="A67" s="16"/>
      <c r="B67" s="53">
        <v>63</v>
      </c>
      <c r="C67" s="44">
        <v>2660</v>
      </c>
      <c r="D67" s="43" t="s">
        <v>25</v>
      </c>
      <c r="E67" s="44">
        <v>3</v>
      </c>
      <c r="F67" s="59">
        <v>43369</v>
      </c>
      <c r="G67" s="44">
        <v>1</v>
      </c>
      <c r="H67" s="44">
        <v>1</v>
      </c>
      <c r="I67" s="44">
        <v>1</v>
      </c>
      <c r="J67" s="44">
        <v>1</v>
      </c>
      <c r="K67" s="44">
        <v>0</v>
      </c>
      <c r="L67" s="44">
        <v>4</v>
      </c>
      <c r="M67" s="44">
        <v>1</v>
      </c>
      <c r="N67" s="44">
        <v>1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6">
        <v>1029.92</v>
      </c>
      <c r="U67" s="46"/>
      <c r="V67" s="46">
        <f>5092.5+2500-T67</f>
        <v>6562.58</v>
      </c>
      <c r="W67" s="46"/>
      <c r="X67" s="46"/>
      <c r="Y67" s="46"/>
      <c r="Z67" s="46">
        <f t="shared" si="7"/>
        <v>1769.385</v>
      </c>
      <c r="AA67" s="46">
        <f t="shared" si="8"/>
        <v>0</v>
      </c>
      <c r="AB67" s="46">
        <f t="shared" si="9"/>
        <v>0</v>
      </c>
      <c r="AC67" s="46">
        <f t="shared" si="10"/>
        <v>0</v>
      </c>
      <c r="AD67" s="46">
        <f t="shared" si="11"/>
        <v>0</v>
      </c>
      <c r="AE67" s="46">
        <f t="shared" si="12"/>
        <v>530.8154999999999</v>
      </c>
      <c r="AF67" s="46">
        <f t="shared" si="13"/>
        <v>1238.5695</v>
      </c>
      <c r="AG67" s="44">
        <v>43.5</v>
      </c>
      <c r="AH67" s="66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</row>
    <row r="68" spans="1:92" s="21" customFormat="1" ht="22.5" customHeight="1">
      <c r="A68" s="19">
        <v>218</v>
      </c>
      <c r="B68" s="57">
        <v>64</v>
      </c>
      <c r="C68" s="54">
        <v>15639</v>
      </c>
      <c r="D68" s="43" t="s">
        <v>26</v>
      </c>
      <c r="E68" s="43">
        <v>5</v>
      </c>
      <c r="F68" s="56">
        <v>43363</v>
      </c>
      <c r="G68" s="43">
        <v>1</v>
      </c>
      <c r="H68" s="43">
        <v>1</v>
      </c>
      <c r="I68" s="43">
        <v>1</v>
      </c>
      <c r="J68" s="43">
        <v>1</v>
      </c>
      <c r="K68" s="44">
        <v>0</v>
      </c>
      <c r="L68" s="44">
        <v>3</v>
      </c>
      <c r="M68" s="44">
        <v>1</v>
      </c>
      <c r="N68" s="43">
        <v>1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6">
        <v>8063.43</v>
      </c>
      <c r="U68" s="46">
        <v>110</v>
      </c>
      <c r="V68" s="46">
        <f>8173.51+926.49-T68-U68</f>
        <v>926.5699999999997</v>
      </c>
      <c r="W68" s="46"/>
      <c r="X68" s="46"/>
      <c r="Y68" s="46"/>
      <c r="Z68" s="46">
        <f t="shared" si="7"/>
        <v>1683.9283333333333</v>
      </c>
      <c r="AA68" s="46">
        <f t="shared" si="8"/>
        <v>0</v>
      </c>
      <c r="AB68" s="46">
        <f t="shared" si="9"/>
        <v>0</v>
      </c>
      <c r="AC68" s="46">
        <f t="shared" si="10"/>
        <v>0</v>
      </c>
      <c r="AD68" s="46">
        <f t="shared" si="11"/>
        <v>0</v>
      </c>
      <c r="AE68" s="46">
        <f t="shared" si="12"/>
        <v>505.1785</v>
      </c>
      <c r="AF68" s="46">
        <f t="shared" si="13"/>
        <v>1178.7498333333333</v>
      </c>
      <c r="AG68" s="44">
        <v>42</v>
      </c>
      <c r="AH68" s="66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s="21" customFormat="1" ht="18">
      <c r="A69" s="19">
        <v>121</v>
      </c>
      <c r="B69" s="57">
        <v>65</v>
      </c>
      <c r="C69" s="54">
        <v>15453</v>
      </c>
      <c r="D69" s="43" t="s">
        <v>26</v>
      </c>
      <c r="E69" s="43">
        <v>7</v>
      </c>
      <c r="F69" s="56">
        <v>43361</v>
      </c>
      <c r="G69" s="43">
        <v>1</v>
      </c>
      <c r="H69" s="43">
        <v>1</v>
      </c>
      <c r="I69" s="43">
        <v>1</v>
      </c>
      <c r="J69" s="43">
        <v>1</v>
      </c>
      <c r="K69" s="44">
        <v>0</v>
      </c>
      <c r="L69" s="44">
        <v>4</v>
      </c>
      <c r="M69" s="44">
        <v>1</v>
      </c>
      <c r="N69" s="43">
        <v>1</v>
      </c>
      <c r="O69" s="43">
        <v>1</v>
      </c>
      <c r="P69" s="43">
        <v>0</v>
      </c>
      <c r="Q69" s="43">
        <v>0</v>
      </c>
      <c r="R69" s="43">
        <v>0</v>
      </c>
      <c r="S69" s="43">
        <v>0</v>
      </c>
      <c r="T69" s="46">
        <f>5575.35+6162.9</f>
        <v>11738.25</v>
      </c>
      <c r="U69" s="46"/>
      <c r="V69" s="46"/>
      <c r="W69" s="46"/>
      <c r="X69" s="46"/>
      <c r="Y69" s="46"/>
      <c r="Z69" s="46">
        <f aca="true" t="shared" si="14" ref="Z69:Z100">((T69*50%+U69*85%+V69)/L69)+W69</f>
        <v>1467.28125</v>
      </c>
      <c r="AA69" s="46">
        <f aca="true" t="shared" si="15" ref="AA69:AA100">IF(O69=1,Z69*30%,0)</f>
        <v>440.184375</v>
      </c>
      <c r="AB69" s="46">
        <f aca="true" t="shared" si="16" ref="AB69:AB100">IF(K69=1,Z69*20%,0)</f>
        <v>0</v>
      </c>
      <c r="AC69" s="46">
        <f aca="true" t="shared" si="17" ref="AC69:AC100">IF(R69=1,Z69*10%,0)</f>
        <v>0</v>
      </c>
      <c r="AD69" s="46">
        <f aca="true" t="shared" si="18" ref="AD69:AD100">IF(S69=1,Z69*30%,0)</f>
        <v>0</v>
      </c>
      <c r="AE69" s="46">
        <f aca="true" t="shared" si="19" ref="AE69:AE100">IF(I69=1,Z69*30%,0)</f>
        <v>440.184375</v>
      </c>
      <c r="AF69" s="46">
        <f aca="true" t="shared" si="20" ref="AF69:AF100">Z69-AA69-AB69-AC69-AD69-AE69</f>
        <v>586.9124999999999</v>
      </c>
      <c r="AG69" s="44">
        <v>42</v>
      </c>
      <c r="AH69" s="66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s="21" customFormat="1" ht="18">
      <c r="A70" s="19"/>
      <c r="B70" s="42">
        <v>66</v>
      </c>
      <c r="C70" s="54">
        <v>15432</v>
      </c>
      <c r="D70" s="43" t="s">
        <v>26</v>
      </c>
      <c r="E70" s="44">
        <v>7</v>
      </c>
      <c r="F70" s="59">
        <v>43350</v>
      </c>
      <c r="G70" s="44">
        <v>1</v>
      </c>
      <c r="H70" s="44">
        <v>1</v>
      </c>
      <c r="I70" s="44">
        <v>0</v>
      </c>
      <c r="J70" s="44">
        <v>1</v>
      </c>
      <c r="K70" s="44">
        <v>0</v>
      </c>
      <c r="L70" s="44">
        <v>4</v>
      </c>
      <c r="M70" s="44">
        <v>1</v>
      </c>
      <c r="N70" s="44">
        <v>1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6">
        <f>11309.3+8918.54</f>
        <v>20227.84</v>
      </c>
      <c r="U70" s="46"/>
      <c r="V70" s="46"/>
      <c r="W70" s="46"/>
      <c r="X70" s="46"/>
      <c r="Y70" s="46"/>
      <c r="Z70" s="46">
        <f t="shared" si="14"/>
        <v>2528.48</v>
      </c>
      <c r="AA70" s="46">
        <f t="shared" si="15"/>
        <v>0</v>
      </c>
      <c r="AB70" s="46">
        <f t="shared" si="16"/>
        <v>0</v>
      </c>
      <c r="AC70" s="46">
        <f t="shared" si="17"/>
        <v>0</v>
      </c>
      <c r="AD70" s="46">
        <f t="shared" si="18"/>
        <v>0</v>
      </c>
      <c r="AE70" s="46">
        <f t="shared" si="19"/>
        <v>0</v>
      </c>
      <c r="AF70" s="46">
        <f t="shared" si="20"/>
        <v>2528.48</v>
      </c>
      <c r="AG70" s="44">
        <v>41</v>
      </c>
      <c r="AH70" s="66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s="21" customFormat="1" ht="18">
      <c r="A71" s="19">
        <v>28</v>
      </c>
      <c r="B71" s="53">
        <v>67</v>
      </c>
      <c r="C71" s="54">
        <v>15353</v>
      </c>
      <c r="D71" s="43" t="s">
        <v>26</v>
      </c>
      <c r="E71" s="43">
        <v>9</v>
      </c>
      <c r="F71" s="56">
        <v>43361</v>
      </c>
      <c r="G71" s="61">
        <v>1</v>
      </c>
      <c r="H71" s="54">
        <v>1</v>
      </c>
      <c r="I71" s="54">
        <v>0</v>
      </c>
      <c r="J71" s="54">
        <v>1</v>
      </c>
      <c r="K71" s="61">
        <v>0</v>
      </c>
      <c r="L71" s="61">
        <v>4</v>
      </c>
      <c r="M71" s="54">
        <v>1</v>
      </c>
      <c r="N71" s="54">
        <v>1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63">
        <f>17092.68+7383.09</f>
        <v>24475.77</v>
      </c>
      <c r="U71" s="63"/>
      <c r="V71" s="63"/>
      <c r="W71" s="63"/>
      <c r="X71" s="63"/>
      <c r="Y71" s="63"/>
      <c r="Z71" s="62">
        <f t="shared" si="14"/>
        <v>3059.47125</v>
      </c>
      <c r="AA71" s="62">
        <f t="shared" si="15"/>
        <v>0</v>
      </c>
      <c r="AB71" s="62">
        <f t="shared" si="16"/>
        <v>0</v>
      </c>
      <c r="AC71" s="62">
        <f t="shared" si="17"/>
        <v>0</v>
      </c>
      <c r="AD71" s="62">
        <f t="shared" si="18"/>
        <v>0</v>
      </c>
      <c r="AE71" s="62">
        <f t="shared" si="19"/>
        <v>0</v>
      </c>
      <c r="AF71" s="62">
        <f t="shared" si="20"/>
        <v>3059.47125</v>
      </c>
      <c r="AG71" s="54">
        <v>41</v>
      </c>
      <c r="AH71" s="8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</row>
    <row r="72" spans="1:92" s="21" customFormat="1" ht="18">
      <c r="A72" s="19">
        <v>189</v>
      </c>
      <c r="B72" s="57">
        <v>68</v>
      </c>
      <c r="C72" s="54">
        <v>15567</v>
      </c>
      <c r="D72" s="43" t="s">
        <v>26</v>
      </c>
      <c r="E72" s="43">
        <v>5</v>
      </c>
      <c r="F72" s="56">
        <v>43367</v>
      </c>
      <c r="G72" s="44">
        <v>1</v>
      </c>
      <c r="H72" s="43">
        <v>1</v>
      </c>
      <c r="I72" s="43">
        <v>0</v>
      </c>
      <c r="J72" s="43">
        <v>1</v>
      </c>
      <c r="K72" s="44">
        <v>0</v>
      </c>
      <c r="L72" s="44">
        <v>3</v>
      </c>
      <c r="M72" s="43">
        <v>1</v>
      </c>
      <c r="N72" s="43">
        <v>1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58">
        <f>147.09+5768.05</f>
        <v>5915.14</v>
      </c>
      <c r="U72" s="58"/>
      <c r="V72" s="58">
        <f>2341.03+5768.93-T72</f>
        <v>2194.8200000000006</v>
      </c>
      <c r="W72" s="58"/>
      <c r="X72" s="58"/>
      <c r="Y72" s="58"/>
      <c r="Z72" s="46">
        <f t="shared" si="14"/>
        <v>1717.4633333333338</v>
      </c>
      <c r="AA72" s="46">
        <f t="shared" si="15"/>
        <v>0</v>
      </c>
      <c r="AB72" s="46">
        <f t="shared" si="16"/>
        <v>0</v>
      </c>
      <c r="AC72" s="46">
        <f t="shared" si="17"/>
        <v>0</v>
      </c>
      <c r="AD72" s="46">
        <f t="shared" si="18"/>
        <v>0</v>
      </c>
      <c r="AE72" s="46">
        <f t="shared" si="19"/>
        <v>0</v>
      </c>
      <c r="AF72" s="46">
        <f t="shared" si="20"/>
        <v>1717.4633333333338</v>
      </c>
      <c r="AG72" s="44">
        <v>41</v>
      </c>
      <c r="AH72" s="66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</row>
    <row r="73" spans="1:92" s="24" customFormat="1" ht="22.5" customHeight="1">
      <c r="A73" s="22">
        <v>141</v>
      </c>
      <c r="B73" s="57">
        <v>69</v>
      </c>
      <c r="C73" s="54">
        <v>15827</v>
      </c>
      <c r="D73" s="43" t="s">
        <v>26</v>
      </c>
      <c r="E73" s="43">
        <v>3</v>
      </c>
      <c r="F73" s="56">
        <v>43370</v>
      </c>
      <c r="G73" s="43">
        <v>1</v>
      </c>
      <c r="H73" s="43">
        <v>1</v>
      </c>
      <c r="I73" s="43">
        <v>0</v>
      </c>
      <c r="J73" s="43">
        <v>1</v>
      </c>
      <c r="K73" s="44">
        <v>0</v>
      </c>
      <c r="L73" s="44">
        <v>4</v>
      </c>
      <c r="M73" s="44">
        <v>1</v>
      </c>
      <c r="N73" s="43">
        <v>1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6">
        <f>11514.33+17641.81</f>
        <v>29156.14</v>
      </c>
      <c r="U73" s="46"/>
      <c r="V73" s="46"/>
      <c r="W73" s="46"/>
      <c r="X73" s="46"/>
      <c r="Y73" s="46"/>
      <c r="Z73" s="46">
        <f t="shared" si="14"/>
        <v>3644.5175</v>
      </c>
      <c r="AA73" s="46">
        <f t="shared" si="15"/>
        <v>0</v>
      </c>
      <c r="AB73" s="46">
        <f t="shared" si="16"/>
        <v>0</v>
      </c>
      <c r="AC73" s="46">
        <f t="shared" si="17"/>
        <v>0</v>
      </c>
      <c r="AD73" s="46">
        <f t="shared" si="18"/>
        <v>0</v>
      </c>
      <c r="AE73" s="46">
        <f t="shared" si="19"/>
        <v>0</v>
      </c>
      <c r="AF73" s="46">
        <f t="shared" si="20"/>
        <v>3644.5175</v>
      </c>
      <c r="AG73" s="44">
        <v>41</v>
      </c>
      <c r="AH73" s="66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</row>
    <row r="74" spans="1:34" ht="18">
      <c r="A74" s="3"/>
      <c r="B74" s="42">
        <v>70</v>
      </c>
      <c r="C74" s="54">
        <v>15289</v>
      </c>
      <c r="D74" s="43" t="s">
        <v>26</v>
      </c>
      <c r="E74" s="43">
        <v>9</v>
      </c>
      <c r="F74" s="56">
        <v>43357</v>
      </c>
      <c r="G74" s="43">
        <v>1</v>
      </c>
      <c r="H74" s="43">
        <v>1</v>
      </c>
      <c r="I74" s="43">
        <v>1</v>
      </c>
      <c r="J74" s="43">
        <v>1</v>
      </c>
      <c r="K74" s="44">
        <v>0</v>
      </c>
      <c r="L74" s="44">
        <v>3</v>
      </c>
      <c r="M74" s="44">
        <v>1</v>
      </c>
      <c r="N74" s="43">
        <v>1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6">
        <v>5429.96</v>
      </c>
      <c r="U74" s="46"/>
      <c r="V74" s="46"/>
      <c r="W74" s="46"/>
      <c r="X74" s="46"/>
      <c r="Y74" s="46"/>
      <c r="Z74" s="46">
        <f t="shared" si="14"/>
        <v>904.9933333333333</v>
      </c>
      <c r="AA74" s="46">
        <f t="shared" si="15"/>
        <v>0</v>
      </c>
      <c r="AB74" s="46">
        <f t="shared" si="16"/>
        <v>0</v>
      </c>
      <c r="AC74" s="46">
        <f t="shared" si="17"/>
        <v>0</v>
      </c>
      <c r="AD74" s="46">
        <f t="shared" si="18"/>
        <v>0</v>
      </c>
      <c r="AE74" s="46">
        <f t="shared" si="19"/>
        <v>271.498</v>
      </c>
      <c r="AF74" s="46">
        <f t="shared" si="20"/>
        <v>633.4953333333333</v>
      </c>
      <c r="AG74" s="44">
        <v>40</v>
      </c>
      <c r="AH74" s="66"/>
    </row>
    <row r="75" spans="1:92" s="21" customFormat="1" ht="22.5" customHeight="1">
      <c r="A75" s="19">
        <v>80</v>
      </c>
      <c r="B75" s="53">
        <v>71</v>
      </c>
      <c r="C75" s="54">
        <v>15850</v>
      </c>
      <c r="D75" s="43" t="s">
        <v>26</v>
      </c>
      <c r="E75" s="43">
        <v>3</v>
      </c>
      <c r="F75" s="56">
        <v>43371</v>
      </c>
      <c r="G75" s="44">
        <v>1</v>
      </c>
      <c r="H75" s="43">
        <v>1</v>
      </c>
      <c r="I75" s="43">
        <v>0</v>
      </c>
      <c r="J75" s="43">
        <v>1</v>
      </c>
      <c r="K75" s="44">
        <v>0</v>
      </c>
      <c r="L75" s="44">
        <v>9</v>
      </c>
      <c r="M75" s="43">
        <v>1</v>
      </c>
      <c r="N75" s="43">
        <v>1</v>
      </c>
      <c r="O75" s="43">
        <v>1</v>
      </c>
      <c r="P75" s="43">
        <v>1</v>
      </c>
      <c r="Q75" s="43">
        <v>0</v>
      </c>
      <c r="R75" s="43">
        <v>0</v>
      </c>
      <c r="S75" s="43">
        <v>0</v>
      </c>
      <c r="T75" s="58">
        <f>16341.96+12010.37</f>
        <v>28352.33</v>
      </c>
      <c r="U75" s="58"/>
      <c r="V75" s="58">
        <f>17270.59+18069-T75</f>
        <v>6987.259999999995</v>
      </c>
      <c r="W75" s="58"/>
      <c r="X75" s="58"/>
      <c r="Y75" s="58"/>
      <c r="Z75" s="46">
        <f t="shared" si="14"/>
        <v>2351.4916666666663</v>
      </c>
      <c r="AA75" s="46">
        <f t="shared" si="15"/>
        <v>705.4474999999999</v>
      </c>
      <c r="AB75" s="46">
        <f t="shared" si="16"/>
        <v>0</v>
      </c>
      <c r="AC75" s="46">
        <f t="shared" si="17"/>
        <v>0</v>
      </c>
      <c r="AD75" s="46">
        <f t="shared" si="18"/>
        <v>0</v>
      </c>
      <c r="AE75" s="46">
        <f t="shared" si="19"/>
        <v>0</v>
      </c>
      <c r="AF75" s="46">
        <f t="shared" si="20"/>
        <v>1646.0441666666666</v>
      </c>
      <c r="AG75" s="44">
        <v>40</v>
      </c>
      <c r="AH75" s="66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</row>
    <row r="76" spans="1:92" s="24" customFormat="1" ht="22.5" customHeight="1">
      <c r="A76" s="22">
        <v>184</v>
      </c>
      <c r="B76" s="57">
        <v>72</v>
      </c>
      <c r="C76" s="54">
        <v>15384</v>
      </c>
      <c r="D76" s="43" t="s">
        <v>24</v>
      </c>
      <c r="E76" s="43">
        <v>7</v>
      </c>
      <c r="F76" s="56">
        <v>43364</v>
      </c>
      <c r="G76" s="43">
        <v>1</v>
      </c>
      <c r="H76" s="43">
        <v>1</v>
      </c>
      <c r="I76" s="43">
        <v>0</v>
      </c>
      <c r="J76" s="43">
        <v>1</v>
      </c>
      <c r="K76" s="44">
        <v>0</v>
      </c>
      <c r="L76" s="44">
        <v>3</v>
      </c>
      <c r="M76" s="44">
        <v>1</v>
      </c>
      <c r="N76" s="43">
        <v>1</v>
      </c>
      <c r="O76" s="43">
        <v>1</v>
      </c>
      <c r="P76" s="43">
        <v>0</v>
      </c>
      <c r="Q76" s="43">
        <v>1</v>
      </c>
      <c r="R76" s="43">
        <v>0</v>
      </c>
      <c r="S76" s="43">
        <v>0</v>
      </c>
      <c r="T76" s="46"/>
      <c r="U76" s="46"/>
      <c r="V76" s="46">
        <v>10427.26</v>
      </c>
      <c r="W76" s="46"/>
      <c r="X76" s="46"/>
      <c r="Y76" s="46"/>
      <c r="Z76" s="46">
        <f t="shared" si="14"/>
        <v>3475.7533333333336</v>
      </c>
      <c r="AA76" s="46">
        <f t="shared" si="15"/>
        <v>1042.726</v>
      </c>
      <c r="AB76" s="46">
        <f t="shared" si="16"/>
        <v>0</v>
      </c>
      <c r="AC76" s="46">
        <f t="shared" si="17"/>
        <v>0</v>
      </c>
      <c r="AD76" s="46">
        <f t="shared" si="18"/>
        <v>0</v>
      </c>
      <c r="AE76" s="46">
        <f t="shared" si="19"/>
        <v>0</v>
      </c>
      <c r="AF76" s="46">
        <f t="shared" si="20"/>
        <v>2433.0273333333334</v>
      </c>
      <c r="AG76" s="43">
        <v>38</v>
      </c>
      <c r="AH76" s="76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</row>
    <row r="77" spans="1:92" s="21" customFormat="1" ht="22.5" customHeight="1">
      <c r="A77" s="19">
        <v>74</v>
      </c>
      <c r="B77" s="57">
        <v>73</v>
      </c>
      <c r="C77" s="54">
        <v>15607</v>
      </c>
      <c r="D77" s="43" t="s">
        <v>24</v>
      </c>
      <c r="E77" s="43">
        <v>5</v>
      </c>
      <c r="F77" s="56">
        <v>43370</v>
      </c>
      <c r="G77" s="44">
        <v>1</v>
      </c>
      <c r="H77" s="43">
        <v>1</v>
      </c>
      <c r="I77" s="43">
        <v>1</v>
      </c>
      <c r="J77" s="43">
        <v>1</v>
      </c>
      <c r="K77" s="44">
        <v>0</v>
      </c>
      <c r="L77" s="44">
        <v>3</v>
      </c>
      <c r="M77" s="43">
        <v>1</v>
      </c>
      <c r="N77" s="43">
        <v>1</v>
      </c>
      <c r="O77" s="43">
        <v>1</v>
      </c>
      <c r="P77" s="43">
        <v>0</v>
      </c>
      <c r="Q77" s="43">
        <v>0</v>
      </c>
      <c r="R77" s="43">
        <v>1</v>
      </c>
      <c r="S77" s="43">
        <v>0</v>
      </c>
      <c r="T77" s="58">
        <f>2833.05+216</f>
        <v>3049.05</v>
      </c>
      <c r="U77" s="58"/>
      <c r="V77" s="58">
        <f>8332.79-T77</f>
        <v>5283.740000000001</v>
      </c>
      <c r="W77" s="58"/>
      <c r="X77" s="58"/>
      <c r="Y77" s="58"/>
      <c r="Z77" s="46">
        <f t="shared" si="14"/>
        <v>2269.421666666667</v>
      </c>
      <c r="AA77" s="46">
        <f t="shared" si="15"/>
        <v>680.8265000000001</v>
      </c>
      <c r="AB77" s="46">
        <f t="shared" si="16"/>
        <v>0</v>
      </c>
      <c r="AC77" s="46">
        <f t="shared" si="17"/>
        <v>226.9421666666667</v>
      </c>
      <c r="AD77" s="46">
        <f t="shared" si="18"/>
        <v>0</v>
      </c>
      <c r="AE77" s="46">
        <f t="shared" si="19"/>
        <v>680.8265000000001</v>
      </c>
      <c r="AF77" s="46">
        <f t="shared" si="20"/>
        <v>680.8265000000001</v>
      </c>
      <c r="AG77" s="44">
        <v>38</v>
      </c>
      <c r="AH77" s="66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s="24" customFormat="1" ht="18">
      <c r="A78" s="22">
        <v>198</v>
      </c>
      <c r="B78" s="42">
        <v>74</v>
      </c>
      <c r="C78" s="54">
        <v>15379</v>
      </c>
      <c r="D78" s="43" t="s">
        <v>24</v>
      </c>
      <c r="E78" s="43">
        <v>7</v>
      </c>
      <c r="F78" s="56">
        <v>43370</v>
      </c>
      <c r="G78" s="43">
        <v>1</v>
      </c>
      <c r="H78" s="43">
        <v>1</v>
      </c>
      <c r="I78" s="43">
        <v>1</v>
      </c>
      <c r="J78" s="43">
        <v>1</v>
      </c>
      <c r="K78" s="44">
        <v>0</v>
      </c>
      <c r="L78" s="44">
        <v>3</v>
      </c>
      <c r="M78" s="44">
        <v>1</v>
      </c>
      <c r="N78" s="43">
        <v>1</v>
      </c>
      <c r="O78" s="43">
        <v>0</v>
      </c>
      <c r="P78" s="43">
        <v>0</v>
      </c>
      <c r="Q78" s="43">
        <v>0</v>
      </c>
      <c r="R78" s="43">
        <v>0</v>
      </c>
      <c r="S78" s="44">
        <v>0</v>
      </c>
      <c r="T78" s="46">
        <v>5380</v>
      </c>
      <c r="U78" s="46"/>
      <c r="V78" s="46"/>
      <c r="W78" s="46"/>
      <c r="X78" s="46"/>
      <c r="Y78" s="46"/>
      <c r="Z78" s="46">
        <f t="shared" si="14"/>
        <v>896.6666666666666</v>
      </c>
      <c r="AA78" s="46">
        <f t="shared" si="15"/>
        <v>0</v>
      </c>
      <c r="AB78" s="46">
        <f t="shared" si="16"/>
        <v>0</v>
      </c>
      <c r="AC78" s="46">
        <f t="shared" si="17"/>
        <v>0</v>
      </c>
      <c r="AD78" s="46">
        <f t="shared" si="18"/>
        <v>0</v>
      </c>
      <c r="AE78" s="46">
        <f t="shared" si="19"/>
        <v>269</v>
      </c>
      <c r="AF78" s="46">
        <f t="shared" si="20"/>
        <v>627.6666666666666</v>
      </c>
      <c r="AG78" s="43">
        <v>38</v>
      </c>
      <c r="AH78" s="75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</row>
    <row r="79" spans="1:92" s="24" customFormat="1" ht="18">
      <c r="A79" s="29">
        <v>49</v>
      </c>
      <c r="B79" s="53">
        <v>75</v>
      </c>
      <c r="C79" s="43">
        <v>2472</v>
      </c>
      <c r="D79" s="43" t="s">
        <v>25</v>
      </c>
      <c r="E79" s="43">
        <v>7</v>
      </c>
      <c r="F79" s="56">
        <v>43358</v>
      </c>
      <c r="G79" s="43">
        <v>1</v>
      </c>
      <c r="H79" s="43">
        <v>1</v>
      </c>
      <c r="I79" s="43">
        <v>0</v>
      </c>
      <c r="J79" s="43">
        <v>1</v>
      </c>
      <c r="K79" s="44">
        <v>0</v>
      </c>
      <c r="L79" s="44">
        <v>5</v>
      </c>
      <c r="M79" s="44">
        <v>1</v>
      </c>
      <c r="N79" s="43">
        <v>1</v>
      </c>
      <c r="O79" s="43">
        <v>1</v>
      </c>
      <c r="P79" s="43">
        <v>1</v>
      </c>
      <c r="Q79" s="43">
        <v>0</v>
      </c>
      <c r="R79" s="43">
        <v>0</v>
      </c>
      <c r="S79" s="44">
        <v>0</v>
      </c>
      <c r="T79" s="46">
        <f>7785.18+360.74</f>
        <v>8145.92</v>
      </c>
      <c r="U79" s="46"/>
      <c r="V79" s="46">
        <v>10</v>
      </c>
      <c r="W79" s="46"/>
      <c r="X79" s="46"/>
      <c r="Y79" s="46"/>
      <c r="Z79" s="46">
        <f t="shared" si="14"/>
        <v>816.592</v>
      </c>
      <c r="AA79" s="46">
        <f t="shared" si="15"/>
        <v>244.9776</v>
      </c>
      <c r="AB79" s="46">
        <f t="shared" si="16"/>
        <v>0</v>
      </c>
      <c r="AC79" s="46">
        <f t="shared" si="17"/>
        <v>0</v>
      </c>
      <c r="AD79" s="46">
        <f t="shared" si="18"/>
        <v>0</v>
      </c>
      <c r="AE79" s="46">
        <f t="shared" si="19"/>
        <v>0</v>
      </c>
      <c r="AF79" s="46">
        <f t="shared" si="20"/>
        <v>571.6143999999999</v>
      </c>
      <c r="AG79" s="44">
        <v>38</v>
      </c>
      <c r="AH79" s="66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</row>
    <row r="80" spans="1:92" s="24" customFormat="1" ht="22.5" customHeight="1">
      <c r="A80" s="22"/>
      <c r="B80" s="57">
        <v>76</v>
      </c>
      <c r="C80" s="43">
        <v>2677</v>
      </c>
      <c r="D80" s="43" t="s">
        <v>25</v>
      </c>
      <c r="E80" s="43">
        <v>3</v>
      </c>
      <c r="F80" s="56">
        <v>43359</v>
      </c>
      <c r="G80" s="44">
        <v>1</v>
      </c>
      <c r="H80" s="43">
        <v>1</v>
      </c>
      <c r="I80" s="43">
        <v>0</v>
      </c>
      <c r="J80" s="43">
        <v>1</v>
      </c>
      <c r="K80" s="44">
        <v>1</v>
      </c>
      <c r="L80" s="44">
        <v>3</v>
      </c>
      <c r="M80" s="43">
        <v>1</v>
      </c>
      <c r="N80" s="43">
        <v>1</v>
      </c>
      <c r="O80" s="43">
        <v>1</v>
      </c>
      <c r="P80" s="43">
        <v>0</v>
      </c>
      <c r="Q80" s="43">
        <v>0</v>
      </c>
      <c r="R80" s="43">
        <v>0</v>
      </c>
      <c r="S80" s="43">
        <v>0</v>
      </c>
      <c r="T80" s="58"/>
      <c r="U80" s="58"/>
      <c r="V80" s="58">
        <f>4560+4275</f>
        <v>8835</v>
      </c>
      <c r="W80" s="58"/>
      <c r="X80" s="58"/>
      <c r="Y80" s="58"/>
      <c r="Z80" s="46">
        <f t="shared" si="14"/>
        <v>2945</v>
      </c>
      <c r="AA80" s="46">
        <f t="shared" si="15"/>
        <v>883.5</v>
      </c>
      <c r="AB80" s="46">
        <f t="shared" si="16"/>
        <v>589</v>
      </c>
      <c r="AC80" s="46">
        <f t="shared" si="17"/>
        <v>0</v>
      </c>
      <c r="AD80" s="46">
        <f t="shared" si="18"/>
        <v>0</v>
      </c>
      <c r="AE80" s="46">
        <f t="shared" si="19"/>
        <v>0</v>
      </c>
      <c r="AF80" s="46">
        <f t="shared" si="20"/>
        <v>1472.5</v>
      </c>
      <c r="AG80" s="44">
        <v>38</v>
      </c>
      <c r="AH80" s="66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</row>
    <row r="81" spans="1:92" s="21" customFormat="1" ht="22.5" customHeight="1">
      <c r="A81" s="19"/>
      <c r="B81" s="57">
        <v>77</v>
      </c>
      <c r="C81" s="54">
        <v>15452</v>
      </c>
      <c r="D81" s="44" t="s">
        <v>24</v>
      </c>
      <c r="E81" s="43">
        <v>7</v>
      </c>
      <c r="F81" s="56">
        <v>43344</v>
      </c>
      <c r="G81" s="44">
        <v>1</v>
      </c>
      <c r="H81" s="43">
        <v>1</v>
      </c>
      <c r="I81" s="43">
        <v>0</v>
      </c>
      <c r="J81" s="43">
        <v>1</v>
      </c>
      <c r="K81" s="44">
        <v>0</v>
      </c>
      <c r="L81" s="44">
        <v>6</v>
      </c>
      <c r="M81" s="43">
        <v>1</v>
      </c>
      <c r="N81" s="43">
        <v>1</v>
      </c>
      <c r="O81" s="43">
        <v>1</v>
      </c>
      <c r="P81" s="43">
        <v>1</v>
      </c>
      <c r="Q81" s="43">
        <v>0</v>
      </c>
      <c r="R81" s="43">
        <v>0</v>
      </c>
      <c r="S81" s="43">
        <v>0</v>
      </c>
      <c r="T81" s="58">
        <f>14083.9+15286.93</f>
        <v>29370.83</v>
      </c>
      <c r="U81" s="58"/>
      <c r="V81" s="58">
        <f>5.58+0.74</f>
        <v>6.32</v>
      </c>
      <c r="W81" s="58"/>
      <c r="X81" s="58"/>
      <c r="Y81" s="58"/>
      <c r="Z81" s="46">
        <f t="shared" si="14"/>
        <v>2448.6225</v>
      </c>
      <c r="AA81" s="46">
        <f t="shared" si="15"/>
        <v>734.5867499999999</v>
      </c>
      <c r="AB81" s="46">
        <f t="shared" si="16"/>
        <v>0</v>
      </c>
      <c r="AC81" s="46">
        <f t="shared" si="17"/>
        <v>0</v>
      </c>
      <c r="AD81" s="46">
        <f t="shared" si="18"/>
        <v>0</v>
      </c>
      <c r="AE81" s="46">
        <f t="shared" si="19"/>
        <v>0</v>
      </c>
      <c r="AF81" s="46">
        <f t="shared" si="20"/>
        <v>1714.03575</v>
      </c>
      <c r="AG81" s="44">
        <v>37</v>
      </c>
      <c r="AH81" s="66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s="21" customFormat="1" ht="22.5" customHeight="1">
      <c r="A82" s="19">
        <v>29</v>
      </c>
      <c r="B82" s="42">
        <v>78</v>
      </c>
      <c r="C82" s="54">
        <v>15550</v>
      </c>
      <c r="D82" s="43" t="s">
        <v>26</v>
      </c>
      <c r="E82" s="43">
        <v>5</v>
      </c>
      <c r="F82" s="56">
        <v>43361</v>
      </c>
      <c r="G82" s="43">
        <v>1</v>
      </c>
      <c r="H82" s="43">
        <v>1</v>
      </c>
      <c r="I82" s="43">
        <v>0</v>
      </c>
      <c r="J82" s="43">
        <v>1</v>
      </c>
      <c r="K82" s="44">
        <v>0</v>
      </c>
      <c r="L82" s="44">
        <v>3</v>
      </c>
      <c r="M82" s="44">
        <v>1</v>
      </c>
      <c r="N82" s="43">
        <v>1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6">
        <f>3743.16+3964.6</f>
        <v>7707.76</v>
      </c>
      <c r="U82" s="46"/>
      <c r="V82" s="46"/>
      <c r="W82" s="46"/>
      <c r="X82" s="46"/>
      <c r="Y82" s="46"/>
      <c r="Z82" s="46">
        <f t="shared" si="14"/>
        <v>1284.6266666666668</v>
      </c>
      <c r="AA82" s="46">
        <f t="shared" si="15"/>
        <v>0</v>
      </c>
      <c r="AB82" s="46">
        <f t="shared" si="16"/>
        <v>0</v>
      </c>
      <c r="AC82" s="46">
        <f t="shared" si="17"/>
        <v>0</v>
      </c>
      <c r="AD82" s="46">
        <f t="shared" si="18"/>
        <v>0</v>
      </c>
      <c r="AE82" s="46">
        <f t="shared" si="19"/>
        <v>0</v>
      </c>
      <c r="AF82" s="46">
        <f t="shared" si="20"/>
        <v>1284.6266666666668</v>
      </c>
      <c r="AG82" s="44">
        <v>36</v>
      </c>
      <c r="AH82" s="66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s="21" customFormat="1" ht="22.5" customHeight="1">
      <c r="A83" s="19"/>
      <c r="B83" s="53">
        <v>79</v>
      </c>
      <c r="C83" s="54">
        <v>15422</v>
      </c>
      <c r="D83" s="43" t="s">
        <v>26</v>
      </c>
      <c r="E83" s="43">
        <v>7</v>
      </c>
      <c r="F83" s="56">
        <v>43373</v>
      </c>
      <c r="G83" s="44">
        <v>1</v>
      </c>
      <c r="H83" s="43">
        <v>1</v>
      </c>
      <c r="I83" s="43">
        <v>0</v>
      </c>
      <c r="J83" s="43">
        <v>1</v>
      </c>
      <c r="K83" s="44">
        <v>0</v>
      </c>
      <c r="L83" s="44">
        <v>4</v>
      </c>
      <c r="M83" s="43">
        <v>1</v>
      </c>
      <c r="N83" s="43">
        <v>1</v>
      </c>
      <c r="O83" s="43">
        <v>0</v>
      </c>
      <c r="P83" s="43">
        <v>0</v>
      </c>
      <c r="Q83" s="43">
        <v>1</v>
      </c>
      <c r="R83" s="43">
        <v>1</v>
      </c>
      <c r="S83" s="43">
        <v>0</v>
      </c>
      <c r="T83" s="58">
        <v>0</v>
      </c>
      <c r="U83" s="58"/>
      <c r="V83" s="58"/>
      <c r="W83" s="58"/>
      <c r="X83" s="58"/>
      <c r="Y83" s="58"/>
      <c r="Z83" s="46">
        <f t="shared" si="14"/>
        <v>0</v>
      </c>
      <c r="AA83" s="46">
        <f t="shared" si="15"/>
        <v>0</v>
      </c>
      <c r="AB83" s="46">
        <f t="shared" si="16"/>
        <v>0</v>
      </c>
      <c r="AC83" s="46">
        <f t="shared" si="17"/>
        <v>0</v>
      </c>
      <c r="AD83" s="46">
        <f t="shared" si="18"/>
        <v>0</v>
      </c>
      <c r="AE83" s="46">
        <f t="shared" si="19"/>
        <v>0</v>
      </c>
      <c r="AF83" s="46">
        <f t="shared" si="20"/>
        <v>0</v>
      </c>
      <c r="AG83" s="44">
        <v>36</v>
      </c>
      <c r="AH83" s="66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34" ht="22.5" customHeight="1">
      <c r="A84" s="3">
        <v>212</v>
      </c>
      <c r="B84" s="57">
        <v>80</v>
      </c>
      <c r="C84" s="54">
        <v>15316</v>
      </c>
      <c r="D84" s="44" t="s">
        <v>24</v>
      </c>
      <c r="E84" s="44">
        <v>7</v>
      </c>
      <c r="F84" s="59">
        <v>43361</v>
      </c>
      <c r="G84" s="44">
        <v>1</v>
      </c>
      <c r="H84" s="44">
        <v>1</v>
      </c>
      <c r="I84" s="44">
        <v>0</v>
      </c>
      <c r="J84" s="44">
        <v>1</v>
      </c>
      <c r="K84" s="44">
        <v>0</v>
      </c>
      <c r="L84" s="44">
        <v>3</v>
      </c>
      <c r="M84" s="44">
        <v>1</v>
      </c>
      <c r="N84" s="44">
        <v>1</v>
      </c>
      <c r="O84" s="44">
        <v>0</v>
      </c>
      <c r="P84" s="44">
        <v>0</v>
      </c>
      <c r="Q84" s="44">
        <v>0</v>
      </c>
      <c r="R84" s="44">
        <v>1</v>
      </c>
      <c r="S84" s="44">
        <v>0</v>
      </c>
      <c r="T84" s="46">
        <v>18306.2</v>
      </c>
      <c r="U84" s="46"/>
      <c r="V84" s="46"/>
      <c r="W84" s="46"/>
      <c r="X84" s="46"/>
      <c r="Y84" s="46"/>
      <c r="Z84" s="46">
        <f t="shared" si="14"/>
        <v>3051.0333333333333</v>
      </c>
      <c r="AA84" s="46">
        <f t="shared" si="15"/>
        <v>0</v>
      </c>
      <c r="AB84" s="46">
        <f t="shared" si="16"/>
        <v>0</v>
      </c>
      <c r="AC84" s="46">
        <f t="shared" si="17"/>
        <v>305.10333333333335</v>
      </c>
      <c r="AD84" s="46">
        <f t="shared" si="18"/>
        <v>0</v>
      </c>
      <c r="AE84" s="46">
        <f t="shared" si="19"/>
        <v>0</v>
      </c>
      <c r="AF84" s="46">
        <f t="shared" si="20"/>
        <v>2745.93</v>
      </c>
      <c r="AG84" s="43">
        <v>35</v>
      </c>
      <c r="AH84" s="76"/>
    </row>
    <row r="85" spans="1:34" ht="18">
      <c r="A85" s="3">
        <v>17</v>
      </c>
      <c r="B85" s="57">
        <v>81</v>
      </c>
      <c r="C85" s="54">
        <v>15839</v>
      </c>
      <c r="D85" s="43" t="s">
        <v>26</v>
      </c>
      <c r="E85" s="43">
        <v>3</v>
      </c>
      <c r="F85" s="56">
        <v>43350</v>
      </c>
      <c r="G85" s="44">
        <v>1</v>
      </c>
      <c r="H85" s="43">
        <v>1</v>
      </c>
      <c r="I85" s="43">
        <v>0</v>
      </c>
      <c r="J85" s="43">
        <v>1</v>
      </c>
      <c r="K85" s="44">
        <v>0</v>
      </c>
      <c r="L85" s="44">
        <v>3</v>
      </c>
      <c r="M85" s="43">
        <v>1</v>
      </c>
      <c r="N85" s="43">
        <v>1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58">
        <f>8595.72+246.27</f>
        <v>8841.99</v>
      </c>
      <c r="U85" s="58">
        <f>1169.09+1706.66</f>
        <v>2875.75</v>
      </c>
      <c r="V85" s="58">
        <f>9954.33+2679.84-T85-U85</f>
        <v>916.4300000000003</v>
      </c>
      <c r="W85" s="58"/>
      <c r="X85" s="58"/>
      <c r="Y85" s="58"/>
      <c r="Z85" s="46">
        <f t="shared" si="14"/>
        <v>2593.9375</v>
      </c>
      <c r="AA85" s="46">
        <f t="shared" si="15"/>
        <v>0</v>
      </c>
      <c r="AB85" s="46">
        <f t="shared" si="16"/>
        <v>0</v>
      </c>
      <c r="AC85" s="46">
        <f t="shared" si="17"/>
        <v>0</v>
      </c>
      <c r="AD85" s="46">
        <f t="shared" si="18"/>
        <v>0</v>
      </c>
      <c r="AE85" s="46">
        <f t="shared" si="19"/>
        <v>0</v>
      </c>
      <c r="AF85" s="46">
        <f t="shared" si="20"/>
        <v>2593.9375</v>
      </c>
      <c r="AG85" s="44">
        <v>35</v>
      </c>
      <c r="AH85" s="66"/>
    </row>
    <row r="86" spans="1:92" s="18" customFormat="1" ht="22.5" customHeight="1">
      <c r="A86" s="16"/>
      <c r="B86" s="42">
        <v>82</v>
      </c>
      <c r="C86" s="54">
        <v>15571</v>
      </c>
      <c r="D86" s="43" t="s">
        <v>26</v>
      </c>
      <c r="E86" s="43">
        <v>5</v>
      </c>
      <c r="F86" s="56">
        <v>43361</v>
      </c>
      <c r="G86" s="43">
        <v>1</v>
      </c>
      <c r="H86" s="43">
        <v>1</v>
      </c>
      <c r="I86" s="44">
        <v>0</v>
      </c>
      <c r="J86" s="43">
        <v>1</v>
      </c>
      <c r="K86" s="44">
        <v>0</v>
      </c>
      <c r="L86" s="44">
        <v>4</v>
      </c>
      <c r="M86" s="44">
        <v>1</v>
      </c>
      <c r="N86" s="43">
        <v>1</v>
      </c>
      <c r="O86" s="43">
        <v>0</v>
      </c>
      <c r="P86" s="43">
        <v>1</v>
      </c>
      <c r="Q86" s="43">
        <v>0</v>
      </c>
      <c r="R86" s="43">
        <v>0</v>
      </c>
      <c r="S86" s="44">
        <v>0</v>
      </c>
      <c r="T86" s="46"/>
      <c r="U86" s="46">
        <f>200.02+1044.8</f>
        <v>1244.82</v>
      </c>
      <c r="V86" s="46"/>
      <c r="W86" s="46"/>
      <c r="X86" s="46"/>
      <c r="Y86" s="46"/>
      <c r="Z86" s="46">
        <f t="shared" si="14"/>
        <v>264.52425</v>
      </c>
      <c r="AA86" s="46">
        <f t="shared" si="15"/>
        <v>0</v>
      </c>
      <c r="AB86" s="46">
        <f t="shared" si="16"/>
        <v>0</v>
      </c>
      <c r="AC86" s="46">
        <f t="shared" si="17"/>
        <v>0</v>
      </c>
      <c r="AD86" s="46">
        <f t="shared" si="18"/>
        <v>0</v>
      </c>
      <c r="AE86" s="46">
        <f t="shared" si="19"/>
        <v>0</v>
      </c>
      <c r="AF86" s="46">
        <f t="shared" si="20"/>
        <v>264.52425</v>
      </c>
      <c r="AG86" s="44">
        <v>35</v>
      </c>
      <c r="AH86" s="66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</row>
    <row r="87" spans="1:92" s="21" customFormat="1" ht="22.5" customHeight="1">
      <c r="A87" s="19"/>
      <c r="B87" s="53">
        <v>83</v>
      </c>
      <c r="C87" s="54">
        <v>15673</v>
      </c>
      <c r="D87" s="43" t="s">
        <v>26</v>
      </c>
      <c r="E87" s="43">
        <v>5</v>
      </c>
      <c r="F87" s="56">
        <v>43360</v>
      </c>
      <c r="G87" s="61">
        <v>1</v>
      </c>
      <c r="H87" s="54">
        <v>1</v>
      </c>
      <c r="I87" s="54">
        <v>0</v>
      </c>
      <c r="J87" s="54">
        <v>1</v>
      </c>
      <c r="K87" s="61">
        <v>0</v>
      </c>
      <c r="L87" s="61">
        <v>3</v>
      </c>
      <c r="M87" s="54">
        <v>1</v>
      </c>
      <c r="N87" s="54">
        <v>1</v>
      </c>
      <c r="O87" s="54">
        <v>1</v>
      </c>
      <c r="P87" s="54">
        <v>0</v>
      </c>
      <c r="Q87" s="54">
        <v>0</v>
      </c>
      <c r="R87" s="54">
        <v>1</v>
      </c>
      <c r="S87" s="54">
        <v>0</v>
      </c>
      <c r="T87" s="63">
        <v>5739.21</v>
      </c>
      <c r="U87" s="63"/>
      <c r="V87" s="63"/>
      <c r="W87" s="63"/>
      <c r="X87" s="63"/>
      <c r="Y87" s="63"/>
      <c r="Z87" s="62">
        <f t="shared" si="14"/>
        <v>956.535</v>
      </c>
      <c r="AA87" s="62">
        <f t="shared" si="15"/>
        <v>286.96049999999997</v>
      </c>
      <c r="AB87" s="62">
        <f t="shared" si="16"/>
        <v>0</v>
      </c>
      <c r="AC87" s="62">
        <f t="shared" si="17"/>
        <v>95.65350000000001</v>
      </c>
      <c r="AD87" s="62">
        <f t="shared" si="18"/>
        <v>0</v>
      </c>
      <c r="AE87" s="62">
        <f t="shared" si="19"/>
        <v>0</v>
      </c>
      <c r="AF87" s="62">
        <f t="shared" si="20"/>
        <v>573.9209999999999</v>
      </c>
      <c r="AG87" s="54">
        <v>35</v>
      </c>
      <c r="AH87" s="77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s="24" customFormat="1" ht="22.5" customHeight="1">
      <c r="A88" s="22">
        <v>83</v>
      </c>
      <c r="B88" s="57">
        <v>84</v>
      </c>
      <c r="C88" s="54">
        <v>15803</v>
      </c>
      <c r="D88" s="43" t="s">
        <v>26</v>
      </c>
      <c r="E88" s="43">
        <v>3</v>
      </c>
      <c r="F88" s="56">
        <v>43365</v>
      </c>
      <c r="G88" s="43">
        <v>1</v>
      </c>
      <c r="H88" s="43">
        <v>1</v>
      </c>
      <c r="I88" s="43">
        <v>1</v>
      </c>
      <c r="J88" s="43">
        <v>1</v>
      </c>
      <c r="K88" s="44">
        <v>0</v>
      </c>
      <c r="L88" s="44">
        <v>4</v>
      </c>
      <c r="M88" s="44">
        <v>1</v>
      </c>
      <c r="N88" s="43">
        <v>1</v>
      </c>
      <c r="O88" s="43">
        <v>0</v>
      </c>
      <c r="P88" s="43">
        <v>1</v>
      </c>
      <c r="Q88" s="43">
        <v>0</v>
      </c>
      <c r="R88" s="43">
        <v>1</v>
      </c>
      <c r="S88" s="44">
        <v>0</v>
      </c>
      <c r="T88" s="46"/>
      <c r="U88" s="46"/>
      <c r="V88" s="46">
        <v>7040</v>
      </c>
      <c r="W88" s="46"/>
      <c r="X88" s="46"/>
      <c r="Y88" s="46"/>
      <c r="Z88" s="46">
        <f t="shared" si="14"/>
        <v>1760</v>
      </c>
      <c r="AA88" s="46">
        <f t="shared" si="15"/>
        <v>0</v>
      </c>
      <c r="AB88" s="46">
        <f t="shared" si="16"/>
        <v>0</v>
      </c>
      <c r="AC88" s="46">
        <f t="shared" si="17"/>
        <v>176</v>
      </c>
      <c r="AD88" s="46">
        <f t="shared" si="18"/>
        <v>0</v>
      </c>
      <c r="AE88" s="46">
        <f t="shared" si="19"/>
        <v>528</v>
      </c>
      <c r="AF88" s="46">
        <f t="shared" si="20"/>
        <v>1056</v>
      </c>
      <c r="AG88" s="44">
        <v>35</v>
      </c>
      <c r="AH88" s="66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</row>
    <row r="89" spans="1:92" s="21" customFormat="1" ht="22.5" customHeight="1">
      <c r="A89" s="19">
        <v>199</v>
      </c>
      <c r="B89" s="57">
        <v>85</v>
      </c>
      <c r="C89" s="54">
        <v>15573</v>
      </c>
      <c r="D89" s="43" t="s">
        <v>26</v>
      </c>
      <c r="E89" s="43">
        <v>5</v>
      </c>
      <c r="F89" s="56">
        <v>43371</v>
      </c>
      <c r="G89" s="44">
        <v>1</v>
      </c>
      <c r="H89" s="43">
        <v>1</v>
      </c>
      <c r="I89" s="43">
        <v>1</v>
      </c>
      <c r="J89" s="43">
        <v>1</v>
      </c>
      <c r="K89" s="44">
        <v>0</v>
      </c>
      <c r="L89" s="44">
        <v>4</v>
      </c>
      <c r="M89" s="43">
        <v>1</v>
      </c>
      <c r="N89" s="43">
        <v>1</v>
      </c>
      <c r="O89" s="43">
        <v>1</v>
      </c>
      <c r="P89" s="43">
        <v>0</v>
      </c>
      <c r="Q89" s="43">
        <v>0</v>
      </c>
      <c r="R89" s="43">
        <v>0</v>
      </c>
      <c r="S89" s="43">
        <v>0</v>
      </c>
      <c r="T89" s="58">
        <v>18961.19</v>
      </c>
      <c r="U89" s="58"/>
      <c r="V89" s="58"/>
      <c r="W89" s="58"/>
      <c r="X89" s="58"/>
      <c r="Y89" s="58"/>
      <c r="Z89" s="46">
        <f t="shared" si="14"/>
        <v>2370.14875</v>
      </c>
      <c r="AA89" s="46">
        <f t="shared" si="15"/>
        <v>711.0446249999999</v>
      </c>
      <c r="AB89" s="46">
        <f t="shared" si="16"/>
        <v>0</v>
      </c>
      <c r="AC89" s="46">
        <f t="shared" si="17"/>
        <v>0</v>
      </c>
      <c r="AD89" s="46">
        <f t="shared" si="18"/>
        <v>0</v>
      </c>
      <c r="AE89" s="46">
        <f t="shared" si="19"/>
        <v>711.0446249999999</v>
      </c>
      <c r="AF89" s="46">
        <f t="shared" si="20"/>
        <v>948.0595</v>
      </c>
      <c r="AG89" s="43">
        <v>34</v>
      </c>
      <c r="AH89" s="76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s="31" customFormat="1" ht="22.5" customHeight="1">
      <c r="A90" s="26">
        <v>221</v>
      </c>
      <c r="B90" s="42">
        <v>86</v>
      </c>
      <c r="C90" s="43">
        <v>2704</v>
      </c>
      <c r="D90" s="44" t="s">
        <v>25</v>
      </c>
      <c r="E90" s="43">
        <v>3</v>
      </c>
      <c r="F90" s="56">
        <v>43343</v>
      </c>
      <c r="G90" s="43">
        <v>1</v>
      </c>
      <c r="H90" s="43">
        <v>1</v>
      </c>
      <c r="I90" s="43">
        <v>1</v>
      </c>
      <c r="J90" s="43">
        <v>1</v>
      </c>
      <c r="K90" s="44">
        <v>0</v>
      </c>
      <c r="L90" s="44">
        <v>4</v>
      </c>
      <c r="M90" s="44">
        <v>1</v>
      </c>
      <c r="N90" s="43">
        <v>1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6">
        <v>10313.72</v>
      </c>
      <c r="U90" s="46"/>
      <c r="V90" s="46"/>
      <c r="W90" s="46"/>
      <c r="X90" s="46"/>
      <c r="Y90" s="46"/>
      <c r="Z90" s="46">
        <f t="shared" si="14"/>
        <v>1289.215</v>
      </c>
      <c r="AA90" s="46">
        <f t="shared" si="15"/>
        <v>0</v>
      </c>
      <c r="AB90" s="46">
        <f t="shared" si="16"/>
        <v>0</v>
      </c>
      <c r="AC90" s="46">
        <f t="shared" si="17"/>
        <v>0</v>
      </c>
      <c r="AD90" s="46">
        <f t="shared" si="18"/>
        <v>0</v>
      </c>
      <c r="AE90" s="46">
        <f t="shared" si="19"/>
        <v>386.76449999999994</v>
      </c>
      <c r="AF90" s="46">
        <f t="shared" si="20"/>
        <v>902.4504999999999</v>
      </c>
      <c r="AG90" s="44">
        <v>33</v>
      </c>
      <c r="AH90" s="66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</row>
    <row r="91" spans="1:34" ht="18">
      <c r="A91" s="3">
        <v>18</v>
      </c>
      <c r="B91" s="53">
        <v>87</v>
      </c>
      <c r="C91" s="54">
        <v>2307</v>
      </c>
      <c r="D91" s="54" t="s">
        <v>25</v>
      </c>
      <c r="E91" s="54">
        <v>9</v>
      </c>
      <c r="F91" s="64">
        <v>43370</v>
      </c>
      <c r="G91" s="54">
        <v>1</v>
      </c>
      <c r="H91" s="54">
        <v>1</v>
      </c>
      <c r="I91" s="54">
        <v>0</v>
      </c>
      <c r="J91" s="54">
        <v>1</v>
      </c>
      <c r="K91" s="61">
        <v>0</v>
      </c>
      <c r="L91" s="61">
        <v>3</v>
      </c>
      <c r="M91" s="61">
        <v>1</v>
      </c>
      <c r="N91" s="54">
        <v>1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62"/>
      <c r="U91" s="62">
        <v>4717.82</v>
      </c>
      <c r="V91" s="62"/>
      <c r="W91" s="62"/>
      <c r="X91" s="62"/>
      <c r="Y91" s="62"/>
      <c r="Z91" s="62">
        <f t="shared" si="14"/>
        <v>1336.7156666666665</v>
      </c>
      <c r="AA91" s="62">
        <f t="shared" si="15"/>
        <v>0</v>
      </c>
      <c r="AB91" s="62">
        <f t="shared" si="16"/>
        <v>0</v>
      </c>
      <c r="AC91" s="62">
        <f t="shared" si="17"/>
        <v>0</v>
      </c>
      <c r="AD91" s="62">
        <f t="shared" si="18"/>
        <v>0</v>
      </c>
      <c r="AE91" s="62">
        <f t="shared" si="19"/>
        <v>0</v>
      </c>
      <c r="AF91" s="62">
        <f t="shared" si="20"/>
        <v>1336.7156666666665</v>
      </c>
      <c r="AG91" s="54">
        <v>33</v>
      </c>
      <c r="AH91" s="66"/>
    </row>
    <row r="92" spans="1:92" s="21" customFormat="1" ht="22.5" customHeight="1">
      <c r="A92" s="19">
        <v>112</v>
      </c>
      <c r="B92" s="57">
        <v>88</v>
      </c>
      <c r="C92" s="54">
        <v>15467</v>
      </c>
      <c r="D92" s="43" t="s">
        <v>24</v>
      </c>
      <c r="E92" s="43">
        <v>7</v>
      </c>
      <c r="F92" s="56">
        <v>43368</v>
      </c>
      <c r="G92" s="43">
        <v>1</v>
      </c>
      <c r="H92" s="43">
        <v>1</v>
      </c>
      <c r="I92" s="44">
        <v>0</v>
      </c>
      <c r="J92" s="43">
        <v>1</v>
      </c>
      <c r="K92" s="44">
        <v>0</v>
      </c>
      <c r="L92" s="44">
        <v>4</v>
      </c>
      <c r="M92" s="44">
        <v>1</v>
      </c>
      <c r="N92" s="43">
        <v>1</v>
      </c>
      <c r="O92" s="43">
        <v>0</v>
      </c>
      <c r="P92" s="43">
        <v>0</v>
      </c>
      <c r="Q92" s="43">
        <v>1</v>
      </c>
      <c r="R92" s="43">
        <v>1</v>
      </c>
      <c r="S92" s="43">
        <v>0</v>
      </c>
      <c r="T92" s="46"/>
      <c r="U92" s="46"/>
      <c r="V92" s="46">
        <v>4480</v>
      </c>
      <c r="W92" s="46"/>
      <c r="X92" s="46"/>
      <c r="Y92" s="46"/>
      <c r="Z92" s="46">
        <f t="shared" si="14"/>
        <v>1120</v>
      </c>
      <c r="AA92" s="46">
        <f t="shared" si="15"/>
        <v>0</v>
      </c>
      <c r="AB92" s="46">
        <f t="shared" si="16"/>
        <v>0</v>
      </c>
      <c r="AC92" s="46">
        <f t="shared" si="17"/>
        <v>112</v>
      </c>
      <c r="AD92" s="46">
        <f t="shared" si="18"/>
        <v>0</v>
      </c>
      <c r="AE92" s="46">
        <f t="shared" si="19"/>
        <v>0</v>
      </c>
      <c r="AF92" s="46">
        <f t="shared" si="20"/>
        <v>1008</v>
      </c>
      <c r="AG92" s="44">
        <v>32</v>
      </c>
      <c r="AH92" s="66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s="21" customFormat="1" ht="22.5" customHeight="1">
      <c r="A93" s="19"/>
      <c r="B93" s="57">
        <v>89</v>
      </c>
      <c r="C93" s="54">
        <v>15826</v>
      </c>
      <c r="D93" s="44" t="s">
        <v>24</v>
      </c>
      <c r="E93" s="43">
        <v>3</v>
      </c>
      <c r="F93" s="56">
        <v>43347</v>
      </c>
      <c r="G93" s="44">
        <v>1</v>
      </c>
      <c r="H93" s="43">
        <v>1</v>
      </c>
      <c r="I93" s="43">
        <v>0</v>
      </c>
      <c r="J93" s="43">
        <v>1</v>
      </c>
      <c r="K93" s="44">
        <v>0</v>
      </c>
      <c r="L93" s="44">
        <v>4</v>
      </c>
      <c r="M93" s="43">
        <v>1</v>
      </c>
      <c r="N93" s="43">
        <v>1</v>
      </c>
      <c r="O93" s="43">
        <v>1</v>
      </c>
      <c r="P93" s="43">
        <v>0</v>
      </c>
      <c r="Q93" s="43">
        <v>0</v>
      </c>
      <c r="R93" s="43">
        <v>0</v>
      </c>
      <c r="S93" s="43">
        <v>0</v>
      </c>
      <c r="T93" s="58">
        <f>9739.7+4725.18</f>
        <v>14464.880000000001</v>
      </c>
      <c r="U93" s="58"/>
      <c r="V93" s="58"/>
      <c r="W93" s="58"/>
      <c r="X93" s="58"/>
      <c r="Y93" s="58"/>
      <c r="Z93" s="46">
        <f t="shared" si="14"/>
        <v>1808.1100000000001</v>
      </c>
      <c r="AA93" s="46">
        <f t="shared" si="15"/>
        <v>542.433</v>
      </c>
      <c r="AB93" s="46">
        <f t="shared" si="16"/>
        <v>0</v>
      </c>
      <c r="AC93" s="46">
        <f t="shared" si="17"/>
        <v>0</v>
      </c>
      <c r="AD93" s="46">
        <f t="shared" si="18"/>
        <v>0</v>
      </c>
      <c r="AE93" s="46">
        <f t="shared" si="19"/>
        <v>0</v>
      </c>
      <c r="AF93" s="46">
        <f t="shared" si="20"/>
        <v>1265.6770000000001</v>
      </c>
      <c r="AG93" s="44">
        <v>31</v>
      </c>
      <c r="AH93" s="66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s="24" customFormat="1" ht="22.5" customHeight="1">
      <c r="A94" s="22">
        <v>166</v>
      </c>
      <c r="B94" s="42">
        <v>90</v>
      </c>
      <c r="C94" s="54">
        <v>15341</v>
      </c>
      <c r="D94" s="43" t="s">
        <v>24</v>
      </c>
      <c r="E94" s="43">
        <v>5</v>
      </c>
      <c r="F94" s="56">
        <v>43360</v>
      </c>
      <c r="G94" s="44">
        <v>1</v>
      </c>
      <c r="H94" s="43">
        <v>1</v>
      </c>
      <c r="I94" s="43">
        <v>0</v>
      </c>
      <c r="J94" s="43">
        <v>1</v>
      </c>
      <c r="K94" s="44">
        <v>0</v>
      </c>
      <c r="L94" s="44">
        <v>3</v>
      </c>
      <c r="M94" s="43">
        <v>1</v>
      </c>
      <c r="N94" s="43">
        <v>1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58">
        <f>3950.43+3160.57</f>
        <v>7111</v>
      </c>
      <c r="U94" s="58"/>
      <c r="V94" s="58"/>
      <c r="W94" s="58"/>
      <c r="X94" s="58"/>
      <c r="Y94" s="58"/>
      <c r="Z94" s="46">
        <f t="shared" si="14"/>
        <v>1185.1666666666667</v>
      </c>
      <c r="AA94" s="46">
        <f t="shared" si="15"/>
        <v>0</v>
      </c>
      <c r="AB94" s="46">
        <f t="shared" si="16"/>
        <v>0</v>
      </c>
      <c r="AC94" s="46">
        <f t="shared" si="17"/>
        <v>0</v>
      </c>
      <c r="AD94" s="46">
        <f t="shared" si="18"/>
        <v>0</v>
      </c>
      <c r="AE94" s="46">
        <f t="shared" si="19"/>
        <v>0</v>
      </c>
      <c r="AF94" s="46">
        <f t="shared" si="20"/>
        <v>1185.1666666666667</v>
      </c>
      <c r="AG94" s="44">
        <v>31</v>
      </c>
      <c r="AH94" s="66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</row>
    <row r="95" spans="1:92" s="21" customFormat="1" ht="22.5" customHeight="1">
      <c r="A95" s="19">
        <v>6</v>
      </c>
      <c r="B95" s="53">
        <v>91</v>
      </c>
      <c r="C95" s="54">
        <v>15897</v>
      </c>
      <c r="D95" s="43" t="s">
        <v>26</v>
      </c>
      <c r="E95" s="43">
        <v>3</v>
      </c>
      <c r="F95" s="56">
        <v>43349</v>
      </c>
      <c r="G95" s="44">
        <v>1</v>
      </c>
      <c r="H95" s="43">
        <v>1</v>
      </c>
      <c r="I95" s="43">
        <v>0</v>
      </c>
      <c r="J95" s="43">
        <v>1</v>
      </c>
      <c r="K95" s="44">
        <v>0</v>
      </c>
      <c r="L95" s="44">
        <v>5</v>
      </c>
      <c r="M95" s="43">
        <v>1</v>
      </c>
      <c r="N95" s="43">
        <v>1</v>
      </c>
      <c r="O95" s="43">
        <v>1</v>
      </c>
      <c r="P95" s="43">
        <v>0</v>
      </c>
      <c r="Q95" s="43">
        <v>1</v>
      </c>
      <c r="R95" s="43">
        <v>0</v>
      </c>
      <c r="S95" s="43">
        <v>0</v>
      </c>
      <c r="T95" s="58">
        <v>9808.73</v>
      </c>
      <c r="U95" s="58"/>
      <c r="V95" s="58"/>
      <c r="W95" s="58"/>
      <c r="X95" s="58"/>
      <c r="Y95" s="58"/>
      <c r="Z95" s="46">
        <f t="shared" si="14"/>
        <v>980.8729999999999</v>
      </c>
      <c r="AA95" s="46">
        <f t="shared" si="15"/>
        <v>294.26189999999997</v>
      </c>
      <c r="AB95" s="46">
        <f t="shared" si="16"/>
        <v>0</v>
      </c>
      <c r="AC95" s="46">
        <f t="shared" si="17"/>
        <v>0</v>
      </c>
      <c r="AD95" s="46">
        <f t="shared" si="18"/>
        <v>0</v>
      </c>
      <c r="AE95" s="46">
        <f t="shared" si="19"/>
        <v>0</v>
      </c>
      <c r="AF95" s="46">
        <f t="shared" si="20"/>
        <v>686.6111</v>
      </c>
      <c r="AG95" s="44">
        <v>31</v>
      </c>
      <c r="AH95" s="66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s="21" customFormat="1" ht="18">
      <c r="A96" s="19">
        <v>93</v>
      </c>
      <c r="B96" s="57">
        <v>92</v>
      </c>
      <c r="C96" s="54">
        <v>2309</v>
      </c>
      <c r="D96" s="43" t="s">
        <v>25</v>
      </c>
      <c r="E96" s="43">
        <v>9</v>
      </c>
      <c r="F96" s="56">
        <v>43373</v>
      </c>
      <c r="G96" s="44">
        <v>1</v>
      </c>
      <c r="H96" s="43">
        <v>1</v>
      </c>
      <c r="I96" s="43">
        <v>0</v>
      </c>
      <c r="J96" s="43">
        <v>1</v>
      </c>
      <c r="K96" s="44">
        <v>0</v>
      </c>
      <c r="L96" s="44">
        <v>4</v>
      </c>
      <c r="M96" s="43">
        <v>1</v>
      </c>
      <c r="N96" s="43">
        <v>1</v>
      </c>
      <c r="O96" s="43">
        <v>0</v>
      </c>
      <c r="P96" s="43">
        <v>0</v>
      </c>
      <c r="Q96" s="43">
        <v>1</v>
      </c>
      <c r="R96" s="43">
        <v>0</v>
      </c>
      <c r="S96" s="43">
        <v>0</v>
      </c>
      <c r="T96" s="58"/>
      <c r="U96" s="58">
        <f>1600.1+17283.08</f>
        <v>18883.18</v>
      </c>
      <c r="V96" s="58"/>
      <c r="W96" s="58"/>
      <c r="X96" s="58"/>
      <c r="Y96" s="58"/>
      <c r="Z96" s="46">
        <f t="shared" si="14"/>
        <v>4012.67575</v>
      </c>
      <c r="AA96" s="46">
        <f t="shared" si="15"/>
        <v>0</v>
      </c>
      <c r="AB96" s="46">
        <f t="shared" si="16"/>
        <v>0</v>
      </c>
      <c r="AC96" s="46">
        <f t="shared" si="17"/>
        <v>0</v>
      </c>
      <c r="AD96" s="46">
        <f t="shared" si="18"/>
        <v>0</v>
      </c>
      <c r="AE96" s="46">
        <f t="shared" si="19"/>
        <v>0</v>
      </c>
      <c r="AF96" s="46">
        <f t="shared" si="20"/>
        <v>4012.67575</v>
      </c>
      <c r="AG96" s="43">
        <v>31</v>
      </c>
      <c r="AH96" s="8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s="24" customFormat="1" ht="22.5" customHeight="1">
      <c r="A97" s="22"/>
      <c r="B97" s="57">
        <v>93</v>
      </c>
      <c r="C97" s="54">
        <v>15500</v>
      </c>
      <c r="D97" s="43" t="s">
        <v>24</v>
      </c>
      <c r="E97" s="43">
        <v>7</v>
      </c>
      <c r="F97" s="56">
        <v>43370</v>
      </c>
      <c r="G97" s="44">
        <v>1</v>
      </c>
      <c r="H97" s="43">
        <v>1</v>
      </c>
      <c r="I97" s="43">
        <v>0</v>
      </c>
      <c r="J97" s="43">
        <v>1</v>
      </c>
      <c r="K97" s="44">
        <v>0</v>
      </c>
      <c r="L97" s="44">
        <v>5</v>
      </c>
      <c r="M97" s="43">
        <v>1</v>
      </c>
      <c r="N97" s="43">
        <v>1</v>
      </c>
      <c r="O97" s="43">
        <v>1</v>
      </c>
      <c r="P97" s="43">
        <v>0</v>
      </c>
      <c r="Q97" s="43">
        <v>1</v>
      </c>
      <c r="R97" s="43">
        <v>0</v>
      </c>
      <c r="S97" s="43">
        <v>0</v>
      </c>
      <c r="T97" s="58">
        <v>15102.72</v>
      </c>
      <c r="U97" s="58"/>
      <c r="V97" s="58">
        <f>2280+2850.01+1782.89</f>
        <v>6912.900000000001</v>
      </c>
      <c r="W97" s="58"/>
      <c r="X97" s="58"/>
      <c r="Y97" s="58"/>
      <c r="Z97" s="46">
        <f t="shared" si="14"/>
        <v>2892.852</v>
      </c>
      <c r="AA97" s="46">
        <f t="shared" si="15"/>
        <v>867.8556</v>
      </c>
      <c r="AB97" s="46">
        <f t="shared" si="16"/>
        <v>0</v>
      </c>
      <c r="AC97" s="46">
        <f t="shared" si="17"/>
        <v>0</v>
      </c>
      <c r="AD97" s="46">
        <f t="shared" si="18"/>
        <v>0</v>
      </c>
      <c r="AE97" s="46">
        <f t="shared" si="19"/>
        <v>0</v>
      </c>
      <c r="AF97" s="46">
        <f t="shared" si="20"/>
        <v>2024.9964</v>
      </c>
      <c r="AG97" s="44">
        <v>30</v>
      </c>
      <c r="AH97" s="66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</row>
    <row r="98" spans="1:34" ht="22.5" customHeight="1">
      <c r="A98" s="3">
        <v>96</v>
      </c>
      <c r="B98" s="42">
        <v>94</v>
      </c>
      <c r="C98" s="54">
        <v>15604</v>
      </c>
      <c r="D98" s="43" t="s">
        <v>26</v>
      </c>
      <c r="E98" s="43">
        <v>5</v>
      </c>
      <c r="F98" s="56">
        <v>43344</v>
      </c>
      <c r="G98" s="44">
        <v>1</v>
      </c>
      <c r="H98" s="43">
        <v>1</v>
      </c>
      <c r="I98" s="43">
        <v>1</v>
      </c>
      <c r="J98" s="43">
        <v>1</v>
      </c>
      <c r="K98" s="44">
        <v>0</v>
      </c>
      <c r="L98" s="44">
        <v>4</v>
      </c>
      <c r="M98" s="43">
        <v>1</v>
      </c>
      <c r="N98" s="43">
        <v>1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58">
        <f>6071.92+8708.12</f>
        <v>14780.04</v>
      </c>
      <c r="U98" s="58"/>
      <c r="V98" s="58"/>
      <c r="W98" s="58"/>
      <c r="X98" s="58"/>
      <c r="Y98" s="58"/>
      <c r="Z98" s="46">
        <f t="shared" si="14"/>
        <v>1847.505</v>
      </c>
      <c r="AA98" s="46">
        <f t="shared" si="15"/>
        <v>0</v>
      </c>
      <c r="AB98" s="46">
        <f t="shared" si="16"/>
        <v>0</v>
      </c>
      <c r="AC98" s="46">
        <f t="shared" si="17"/>
        <v>0</v>
      </c>
      <c r="AD98" s="46">
        <f t="shared" si="18"/>
        <v>0</v>
      </c>
      <c r="AE98" s="46">
        <f t="shared" si="19"/>
        <v>554.2515</v>
      </c>
      <c r="AF98" s="46">
        <f t="shared" si="20"/>
        <v>1293.2535000000003</v>
      </c>
      <c r="AG98" s="44">
        <v>29</v>
      </c>
      <c r="AH98" s="66"/>
    </row>
    <row r="99" spans="1:92" s="24" customFormat="1" ht="22.5" customHeight="1">
      <c r="A99" s="22"/>
      <c r="B99" s="53">
        <v>95</v>
      </c>
      <c r="C99" s="54">
        <v>15799</v>
      </c>
      <c r="D99" s="43" t="s">
        <v>26</v>
      </c>
      <c r="E99" s="54">
        <v>3</v>
      </c>
      <c r="F99" s="64">
        <v>43359</v>
      </c>
      <c r="G99" s="54">
        <v>1</v>
      </c>
      <c r="H99" s="54">
        <v>1</v>
      </c>
      <c r="I99" s="54">
        <v>1</v>
      </c>
      <c r="J99" s="54">
        <v>1</v>
      </c>
      <c r="K99" s="61">
        <v>0</v>
      </c>
      <c r="L99" s="61">
        <v>3</v>
      </c>
      <c r="M99" s="61">
        <v>1</v>
      </c>
      <c r="N99" s="54">
        <v>1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62">
        <v>9093.08</v>
      </c>
      <c r="U99" s="62"/>
      <c r="V99" s="62"/>
      <c r="W99" s="62"/>
      <c r="X99" s="62"/>
      <c r="Y99" s="62"/>
      <c r="Z99" s="62">
        <f t="shared" si="14"/>
        <v>1515.5133333333333</v>
      </c>
      <c r="AA99" s="62">
        <f t="shared" si="15"/>
        <v>0</v>
      </c>
      <c r="AB99" s="62">
        <f t="shared" si="16"/>
        <v>0</v>
      </c>
      <c r="AC99" s="62">
        <f t="shared" si="17"/>
        <v>0</v>
      </c>
      <c r="AD99" s="62">
        <f t="shared" si="18"/>
        <v>0</v>
      </c>
      <c r="AE99" s="62">
        <f t="shared" si="19"/>
        <v>454.654</v>
      </c>
      <c r="AF99" s="62">
        <f t="shared" si="20"/>
        <v>1060.8593333333333</v>
      </c>
      <c r="AG99" s="54">
        <v>29</v>
      </c>
      <c r="AH99" s="77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</row>
    <row r="100" spans="1:34" ht="18">
      <c r="A100" s="3">
        <v>114</v>
      </c>
      <c r="B100" s="57">
        <v>96</v>
      </c>
      <c r="C100" s="54">
        <v>15506</v>
      </c>
      <c r="D100" s="43" t="s">
        <v>24</v>
      </c>
      <c r="E100" s="43">
        <v>5</v>
      </c>
      <c r="F100" s="56">
        <v>43365</v>
      </c>
      <c r="G100" s="61">
        <v>1</v>
      </c>
      <c r="H100" s="54">
        <v>1</v>
      </c>
      <c r="I100" s="54">
        <v>0</v>
      </c>
      <c r="J100" s="54">
        <v>1</v>
      </c>
      <c r="K100" s="61">
        <v>0</v>
      </c>
      <c r="L100" s="61">
        <v>3</v>
      </c>
      <c r="M100" s="54">
        <v>1</v>
      </c>
      <c r="N100" s="54">
        <v>1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63">
        <v>2841.6</v>
      </c>
      <c r="U100" s="63">
        <v>28.36</v>
      </c>
      <c r="V100" s="63">
        <f>1995+137.81+1995</f>
        <v>4127.8099999999995</v>
      </c>
      <c r="W100" s="63"/>
      <c r="X100" s="63"/>
      <c r="Y100" s="63"/>
      <c r="Z100" s="62">
        <f t="shared" si="14"/>
        <v>1857.572</v>
      </c>
      <c r="AA100" s="62">
        <f t="shared" si="15"/>
        <v>0</v>
      </c>
      <c r="AB100" s="62">
        <f t="shared" si="16"/>
        <v>0</v>
      </c>
      <c r="AC100" s="62">
        <f t="shared" si="17"/>
        <v>0</v>
      </c>
      <c r="AD100" s="62">
        <f t="shared" si="18"/>
        <v>0</v>
      </c>
      <c r="AE100" s="62">
        <f t="shared" si="19"/>
        <v>0</v>
      </c>
      <c r="AF100" s="62">
        <f t="shared" si="20"/>
        <v>1857.572</v>
      </c>
      <c r="AG100" s="54">
        <v>27</v>
      </c>
      <c r="AH100" s="77"/>
    </row>
    <row r="101" spans="1:92" s="21" customFormat="1" ht="22.5" customHeight="1">
      <c r="A101" s="19">
        <v>22</v>
      </c>
      <c r="B101" s="57">
        <v>97</v>
      </c>
      <c r="C101" s="54">
        <v>15367</v>
      </c>
      <c r="D101" s="44" t="s">
        <v>24</v>
      </c>
      <c r="E101" s="43">
        <v>7</v>
      </c>
      <c r="F101" s="56">
        <v>43356</v>
      </c>
      <c r="G101" s="44">
        <v>1</v>
      </c>
      <c r="H101" s="43">
        <v>1</v>
      </c>
      <c r="I101" s="43">
        <v>1</v>
      </c>
      <c r="J101" s="43">
        <v>1</v>
      </c>
      <c r="K101" s="44">
        <v>0</v>
      </c>
      <c r="L101" s="44">
        <v>4</v>
      </c>
      <c r="M101" s="43">
        <v>1</v>
      </c>
      <c r="N101" s="43">
        <v>1</v>
      </c>
      <c r="O101" s="43">
        <v>0</v>
      </c>
      <c r="P101" s="43">
        <v>1</v>
      </c>
      <c r="Q101" s="43">
        <v>0</v>
      </c>
      <c r="R101" s="43">
        <v>0</v>
      </c>
      <c r="S101" s="43">
        <v>1</v>
      </c>
      <c r="T101" s="58">
        <f>7516.25+5286.42</f>
        <v>12802.67</v>
      </c>
      <c r="U101" s="58"/>
      <c r="V101" s="58"/>
      <c r="W101" s="58"/>
      <c r="X101" s="58"/>
      <c r="Y101" s="58"/>
      <c r="Z101" s="46">
        <f aca="true" t="shared" si="21" ref="Z101:Z114">((T101*50%+U101*85%+V101)/L101)+W101</f>
        <v>1600.33375</v>
      </c>
      <c r="AA101" s="46">
        <f aca="true" t="shared" si="22" ref="AA101:AA114">IF(O101=1,Z101*30%,0)</f>
        <v>0</v>
      </c>
      <c r="AB101" s="46">
        <f aca="true" t="shared" si="23" ref="AB101:AB114">IF(K101=1,Z101*20%,0)</f>
        <v>0</v>
      </c>
      <c r="AC101" s="46">
        <f aca="true" t="shared" si="24" ref="AC101:AC114">IF(R101=1,Z101*10%,0)</f>
        <v>0</v>
      </c>
      <c r="AD101" s="46">
        <f aca="true" t="shared" si="25" ref="AD101:AD114">IF(S101=1,Z101*30%,0)</f>
        <v>480.100125</v>
      </c>
      <c r="AE101" s="46">
        <f aca="true" t="shared" si="26" ref="AE101:AE114">IF(I101=1,Z101*30%,0)</f>
        <v>480.100125</v>
      </c>
      <c r="AF101" s="46">
        <f aca="true" t="shared" si="27" ref="AF101:AF114">Z101-AA101-AB101-AC101-AD101-AE101</f>
        <v>640.1335000000001</v>
      </c>
      <c r="AG101" s="44">
        <v>26</v>
      </c>
      <c r="AH101" s="66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</row>
    <row r="102" spans="1:92" s="24" customFormat="1" ht="22.5" customHeight="1">
      <c r="A102" s="22">
        <v>209</v>
      </c>
      <c r="B102" s="42">
        <v>98</v>
      </c>
      <c r="C102" s="54">
        <v>15429</v>
      </c>
      <c r="D102" s="43" t="s">
        <v>26</v>
      </c>
      <c r="E102" s="43">
        <v>7</v>
      </c>
      <c r="F102" s="56">
        <v>43367</v>
      </c>
      <c r="G102" s="43">
        <v>1</v>
      </c>
      <c r="H102" s="43">
        <v>1</v>
      </c>
      <c r="I102" s="43">
        <v>0</v>
      </c>
      <c r="J102" s="43">
        <v>1</v>
      </c>
      <c r="K102" s="44">
        <v>0</v>
      </c>
      <c r="L102" s="44">
        <v>4</v>
      </c>
      <c r="M102" s="44">
        <v>1</v>
      </c>
      <c r="N102" s="43">
        <v>1</v>
      </c>
      <c r="O102" s="43">
        <v>1</v>
      </c>
      <c r="P102" s="43">
        <v>0</v>
      </c>
      <c r="Q102" s="43">
        <v>0</v>
      </c>
      <c r="R102" s="43">
        <v>0</v>
      </c>
      <c r="S102" s="43">
        <v>0</v>
      </c>
      <c r="T102" s="46">
        <v>16157.53</v>
      </c>
      <c r="U102" s="46"/>
      <c r="V102" s="46"/>
      <c r="W102" s="46"/>
      <c r="X102" s="46"/>
      <c r="Y102" s="46"/>
      <c r="Z102" s="46">
        <f t="shared" si="21"/>
        <v>2019.69125</v>
      </c>
      <c r="AA102" s="46">
        <f t="shared" si="22"/>
        <v>605.907375</v>
      </c>
      <c r="AB102" s="46">
        <f t="shared" si="23"/>
        <v>0</v>
      </c>
      <c r="AC102" s="46">
        <f t="shared" si="24"/>
        <v>0</v>
      </c>
      <c r="AD102" s="46">
        <f t="shared" si="25"/>
        <v>0</v>
      </c>
      <c r="AE102" s="46">
        <f t="shared" si="26"/>
        <v>0</v>
      </c>
      <c r="AF102" s="46">
        <f t="shared" si="27"/>
        <v>1413.783875</v>
      </c>
      <c r="AG102" s="44">
        <v>26</v>
      </c>
      <c r="AH102" s="66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</row>
    <row r="103" spans="1:92" s="24" customFormat="1" ht="22.5" customHeight="1">
      <c r="A103" s="22">
        <v>53</v>
      </c>
      <c r="B103" s="53">
        <v>99</v>
      </c>
      <c r="C103" s="54">
        <v>15492</v>
      </c>
      <c r="D103" s="43" t="s">
        <v>26</v>
      </c>
      <c r="E103" s="44">
        <v>7</v>
      </c>
      <c r="F103" s="59">
        <v>43372</v>
      </c>
      <c r="G103" s="44">
        <v>1</v>
      </c>
      <c r="H103" s="44">
        <v>1</v>
      </c>
      <c r="I103" s="44">
        <v>0</v>
      </c>
      <c r="J103" s="44">
        <v>1</v>
      </c>
      <c r="K103" s="44">
        <v>0</v>
      </c>
      <c r="L103" s="44">
        <v>5</v>
      </c>
      <c r="M103" s="44">
        <v>1</v>
      </c>
      <c r="N103" s="44">
        <v>1</v>
      </c>
      <c r="O103" s="44">
        <v>1</v>
      </c>
      <c r="P103" s="44">
        <v>0</v>
      </c>
      <c r="Q103" s="44">
        <v>1</v>
      </c>
      <c r="R103" s="44">
        <v>0</v>
      </c>
      <c r="S103" s="44">
        <v>0</v>
      </c>
      <c r="T103" s="46">
        <f>4871.62+11801.07</f>
        <v>16672.69</v>
      </c>
      <c r="U103" s="46"/>
      <c r="V103" s="46"/>
      <c r="W103" s="46"/>
      <c r="X103" s="46"/>
      <c r="Y103" s="46"/>
      <c r="Z103" s="46">
        <f t="shared" si="21"/>
        <v>1667.2689999999998</v>
      </c>
      <c r="AA103" s="46">
        <f t="shared" si="22"/>
        <v>500.1806999999999</v>
      </c>
      <c r="AB103" s="46">
        <f t="shared" si="23"/>
        <v>0</v>
      </c>
      <c r="AC103" s="46">
        <f t="shared" si="24"/>
        <v>0</v>
      </c>
      <c r="AD103" s="46">
        <f t="shared" si="25"/>
        <v>0</v>
      </c>
      <c r="AE103" s="46">
        <f t="shared" si="26"/>
        <v>0</v>
      </c>
      <c r="AF103" s="46">
        <f t="shared" si="27"/>
        <v>1167.0883</v>
      </c>
      <c r="AG103" s="44">
        <v>26</v>
      </c>
      <c r="AH103" s="66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</row>
    <row r="104" spans="1:92" s="7" customFormat="1" ht="22.5" customHeight="1">
      <c r="A104" s="9"/>
      <c r="B104" s="57">
        <v>100</v>
      </c>
      <c r="C104" s="54">
        <v>15457</v>
      </c>
      <c r="D104" s="43" t="s">
        <v>24</v>
      </c>
      <c r="E104" s="43">
        <v>7</v>
      </c>
      <c r="F104" s="56">
        <v>43349</v>
      </c>
      <c r="G104" s="44">
        <v>1</v>
      </c>
      <c r="H104" s="43">
        <v>1</v>
      </c>
      <c r="I104" s="43">
        <v>1</v>
      </c>
      <c r="J104" s="43">
        <v>1</v>
      </c>
      <c r="K104" s="44">
        <v>0</v>
      </c>
      <c r="L104" s="44">
        <v>4</v>
      </c>
      <c r="M104" s="43">
        <v>1</v>
      </c>
      <c r="N104" s="43">
        <v>1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58">
        <f>1540+4500</f>
        <v>6040</v>
      </c>
      <c r="U104" s="58"/>
      <c r="V104" s="58"/>
      <c r="W104" s="58"/>
      <c r="X104" s="58"/>
      <c r="Y104" s="58"/>
      <c r="Z104" s="46">
        <f t="shared" si="21"/>
        <v>755</v>
      </c>
      <c r="AA104" s="46">
        <f t="shared" si="22"/>
        <v>0</v>
      </c>
      <c r="AB104" s="46">
        <f t="shared" si="23"/>
        <v>0</v>
      </c>
      <c r="AC104" s="46">
        <f t="shared" si="24"/>
        <v>0</v>
      </c>
      <c r="AD104" s="46">
        <f t="shared" si="25"/>
        <v>0</v>
      </c>
      <c r="AE104" s="46">
        <f t="shared" si="26"/>
        <v>226.5</v>
      </c>
      <c r="AF104" s="46">
        <f t="shared" si="27"/>
        <v>528.5</v>
      </c>
      <c r="AG104" s="44">
        <v>24</v>
      </c>
      <c r="AH104" s="66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</row>
    <row r="105" spans="1:92" s="24" customFormat="1" ht="18">
      <c r="A105" s="22">
        <v>186</v>
      </c>
      <c r="B105" s="57">
        <v>101</v>
      </c>
      <c r="C105" s="43">
        <v>2534</v>
      </c>
      <c r="D105" s="43" t="s">
        <v>25</v>
      </c>
      <c r="E105" s="43">
        <v>5</v>
      </c>
      <c r="F105" s="56">
        <v>43363</v>
      </c>
      <c r="G105" s="43">
        <v>1</v>
      </c>
      <c r="H105" s="43">
        <v>1</v>
      </c>
      <c r="I105" s="43">
        <v>0</v>
      </c>
      <c r="J105" s="43">
        <v>1</v>
      </c>
      <c r="K105" s="44">
        <v>0</v>
      </c>
      <c r="L105" s="44">
        <v>3</v>
      </c>
      <c r="M105" s="44">
        <v>1</v>
      </c>
      <c r="N105" s="43">
        <v>1</v>
      </c>
      <c r="O105" s="43">
        <v>0</v>
      </c>
      <c r="P105" s="43">
        <v>1</v>
      </c>
      <c r="Q105" s="43">
        <v>0</v>
      </c>
      <c r="R105" s="43">
        <v>0</v>
      </c>
      <c r="S105" s="43">
        <v>1</v>
      </c>
      <c r="T105" s="46">
        <v>7897.56</v>
      </c>
      <c r="U105" s="46">
        <v>10223.77</v>
      </c>
      <c r="V105" s="46"/>
      <c r="W105" s="46"/>
      <c r="X105" s="46"/>
      <c r="Y105" s="46"/>
      <c r="Z105" s="46">
        <f t="shared" si="21"/>
        <v>4212.994833333333</v>
      </c>
      <c r="AA105" s="46">
        <f t="shared" si="22"/>
        <v>0</v>
      </c>
      <c r="AB105" s="46">
        <f t="shared" si="23"/>
        <v>0</v>
      </c>
      <c r="AC105" s="46">
        <f t="shared" si="24"/>
        <v>0</v>
      </c>
      <c r="AD105" s="46">
        <f t="shared" si="25"/>
        <v>1263.89845</v>
      </c>
      <c r="AE105" s="46">
        <f t="shared" si="26"/>
        <v>0</v>
      </c>
      <c r="AF105" s="46">
        <f t="shared" si="27"/>
        <v>2949.0963833333335</v>
      </c>
      <c r="AG105" s="43">
        <v>23.5</v>
      </c>
      <c r="AH105" s="75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</row>
    <row r="106" spans="1:92" s="21" customFormat="1" ht="18">
      <c r="A106" s="19">
        <v>146</v>
      </c>
      <c r="B106" s="42">
        <v>102</v>
      </c>
      <c r="C106" s="54">
        <v>15189</v>
      </c>
      <c r="D106" s="43" t="s">
        <v>24</v>
      </c>
      <c r="E106" s="44">
        <v>9</v>
      </c>
      <c r="F106" s="59">
        <v>43361</v>
      </c>
      <c r="G106" s="44">
        <v>1</v>
      </c>
      <c r="H106" s="44">
        <v>1</v>
      </c>
      <c r="I106" s="44">
        <v>0</v>
      </c>
      <c r="J106" s="44">
        <v>1</v>
      </c>
      <c r="K106" s="44">
        <v>0</v>
      </c>
      <c r="L106" s="44">
        <v>3</v>
      </c>
      <c r="M106" s="44">
        <v>1</v>
      </c>
      <c r="N106" s="44">
        <v>1</v>
      </c>
      <c r="O106" s="44">
        <v>0</v>
      </c>
      <c r="P106" s="44">
        <v>0</v>
      </c>
      <c r="Q106" s="44">
        <v>0</v>
      </c>
      <c r="R106" s="44">
        <v>1</v>
      </c>
      <c r="S106" s="44">
        <v>0</v>
      </c>
      <c r="T106" s="46">
        <v>6090</v>
      </c>
      <c r="U106" s="46"/>
      <c r="V106" s="46"/>
      <c r="W106" s="46"/>
      <c r="X106" s="46"/>
      <c r="Y106" s="46"/>
      <c r="Z106" s="46">
        <f t="shared" si="21"/>
        <v>1015</v>
      </c>
      <c r="AA106" s="46">
        <f t="shared" si="22"/>
        <v>0</v>
      </c>
      <c r="AB106" s="46">
        <f t="shared" si="23"/>
        <v>0</v>
      </c>
      <c r="AC106" s="46">
        <f t="shared" si="24"/>
        <v>101.5</v>
      </c>
      <c r="AD106" s="46">
        <f t="shared" si="25"/>
        <v>0</v>
      </c>
      <c r="AE106" s="46">
        <f t="shared" si="26"/>
        <v>0</v>
      </c>
      <c r="AF106" s="46">
        <f t="shared" si="27"/>
        <v>913.5</v>
      </c>
      <c r="AG106" s="43">
        <v>23</v>
      </c>
      <c r="AH106" s="66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</row>
    <row r="107" spans="1:92" s="32" customFormat="1" ht="22.5" customHeight="1">
      <c r="A107" s="22"/>
      <c r="B107" s="53">
        <v>103</v>
      </c>
      <c r="C107" s="54">
        <v>15529</v>
      </c>
      <c r="D107" s="43" t="s">
        <v>24</v>
      </c>
      <c r="E107" s="44">
        <v>5</v>
      </c>
      <c r="F107" s="59">
        <v>43372</v>
      </c>
      <c r="G107" s="44">
        <v>1</v>
      </c>
      <c r="H107" s="44">
        <v>1</v>
      </c>
      <c r="I107" s="44">
        <v>0</v>
      </c>
      <c r="J107" s="44">
        <v>1</v>
      </c>
      <c r="K107" s="44">
        <v>0</v>
      </c>
      <c r="L107" s="44">
        <v>3</v>
      </c>
      <c r="M107" s="44">
        <v>1</v>
      </c>
      <c r="N107" s="44">
        <v>1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6">
        <f>3600.54+6206.53</f>
        <v>9807.07</v>
      </c>
      <c r="U107" s="46"/>
      <c r="V107" s="46"/>
      <c r="W107" s="46"/>
      <c r="X107" s="46"/>
      <c r="Y107" s="46"/>
      <c r="Z107" s="46">
        <f t="shared" si="21"/>
        <v>1634.5116666666665</v>
      </c>
      <c r="AA107" s="46">
        <f t="shared" si="22"/>
        <v>0</v>
      </c>
      <c r="AB107" s="46">
        <f t="shared" si="23"/>
        <v>0</v>
      </c>
      <c r="AC107" s="46">
        <f t="shared" si="24"/>
        <v>0</v>
      </c>
      <c r="AD107" s="46">
        <f t="shared" si="25"/>
        <v>0</v>
      </c>
      <c r="AE107" s="46">
        <f t="shared" si="26"/>
        <v>0</v>
      </c>
      <c r="AF107" s="46">
        <f t="shared" si="27"/>
        <v>1634.5116666666665</v>
      </c>
      <c r="AG107" s="44">
        <v>23</v>
      </c>
      <c r="AH107" s="66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</row>
    <row r="108" spans="1:34" ht="18">
      <c r="A108" s="3"/>
      <c r="B108" s="57">
        <v>104</v>
      </c>
      <c r="C108" s="54">
        <v>2361</v>
      </c>
      <c r="D108" s="43" t="s">
        <v>25</v>
      </c>
      <c r="E108" s="43">
        <v>9</v>
      </c>
      <c r="F108" s="56">
        <v>43373</v>
      </c>
      <c r="G108" s="43">
        <v>1</v>
      </c>
      <c r="H108" s="43">
        <v>1</v>
      </c>
      <c r="I108" s="43">
        <v>1</v>
      </c>
      <c r="J108" s="43">
        <v>1</v>
      </c>
      <c r="K108" s="44">
        <v>0</v>
      </c>
      <c r="L108" s="44">
        <v>3</v>
      </c>
      <c r="M108" s="44">
        <v>1</v>
      </c>
      <c r="N108" s="43">
        <v>1</v>
      </c>
      <c r="O108" s="43">
        <v>0</v>
      </c>
      <c r="P108" s="43">
        <v>1</v>
      </c>
      <c r="Q108" s="43">
        <v>0</v>
      </c>
      <c r="R108" s="43">
        <v>0</v>
      </c>
      <c r="S108" s="43">
        <v>0</v>
      </c>
      <c r="T108" s="46">
        <f>5013.85+9351.11</f>
        <v>14364.960000000001</v>
      </c>
      <c r="U108" s="46"/>
      <c r="V108" s="46"/>
      <c r="W108" s="46"/>
      <c r="X108" s="46"/>
      <c r="Y108" s="46"/>
      <c r="Z108" s="46">
        <f t="shared" si="21"/>
        <v>2394.1600000000003</v>
      </c>
      <c r="AA108" s="46">
        <f t="shared" si="22"/>
        <v>0</v>
      </c>
      <c r="AB108" s="46">
        <f t="shared" si="23"/>
        <v>0</v>
      </c>
      <c r="AC108" s="46">
        <f t="shared" si="24"/>
        <v>0</v>
      </c>
      <c r="AD108" s="46">
        <f t="shared" si="25"/>
        <v>0</v>
      </c>
      <c r="AE108" s="46">
        <f t="shared" si="26"/>
        <v>718.248</v>
      </c>
      <c r="AF108" s="46">
        <f t="shared" si="27"/>
        <v>1675.9120000000003</v>
      </c>
      <c r="AG108" s="44">
        <v>22</v>
      </c>
      <c r="AH108" s="66"/>
    </row>
    <row r="109" spans="1:92" s="24" customFormat="1" ht="22.5" customHeight="1">
      <c r="A109" s="22"/>
      <c r="B109" s="57">
        <v>105</v>
      </c>
      <c r="C109" s="54">
        <v>15790</v>
      </c>
      <c r="D109" s="44" t="s">
        <v>24</v>
      </c>
      <c r="E109" s="44">
        <v>3</v>
      </c>
      <c r="F109" s="59">
        <v>43343</v>
      </c>
      <c r="G109" s="90">
        <v>1</v>
      </c>
      <c r="H109" s="90">
        <v>1</v>
      </c>
      <c r="I109" s="90">
        <v>1</v>
      </c>
      <c r="J109" s="90">
        <v>1</v>
      </c>
      <c r="K109" s="90">
        <v>0</v>
      </c>
      <c r="L109" s="90">
        <v>5</v>
      </c>
      <c r="M109" s="90">
        <v>1</v>
      </c>
      <c r="N109" s="90">
        <v>1</v>
      </c>
      <c r="O109" s="90">
        <v>0</v>
      </c>
      <c r="P109" s="90">
        <v>0</v>
      </c>
      <c r="Q109" s="90">
        <v>0</v>
      </c>
      <c r="R109" s="90">
        <v>0</v>
      </c>
      <c r="S109" s="90">
        <v>0</v>
      </c>
      <c r="T109" s="46">
        <f>492.99+4146.48+13618.42</f>
        <v>18257.89</v>
      </c>
      <c r="U109" s="46"/>
      <c r="V109" s="46">
        <f>1.1+5.04</f>
        <v>6.140000000000001</v>
      </c>
      <c r="W109" s="46"/>
      <c r="X109" s="46"/>
      <c r="Y109" s="46"/>
      <c r="Z109" s="46">
        <f t="shared" si="21"/>
        <v>1827.0169999999998</v>
      </c>
      <c r="AA109" s="46">
        <f t="shared" si="22"/>
        <v>0</v>
      </c>
      <c r="AB109" s="46">
        <f t="shared" si="23"/>
        <v>0</v>
      </c>
      <c r="AC109" s="46">
        <f t="shared" si="24"/>
        <v>0</v>
      </c>
      <c r="AD109" s="46">
        <f t="shared" si="25"/>
        <v>0</v>
      </c>
      <c r="AE109" s="46">
        <f t="shared" si="26"/>
        <v>548.1050999999999</v>
      </c>
      <c r="AF109" s="46">
        <f t="shared" si="27"/>
        <v>1278.9119</v>
      </c>
      <c r="AG109" s="44">
        <v>21</v>
      </c>
      <c r="AH109" s="66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</row>
    <row r="110" spans="1:92" s="24" customFormat="1" ht="20.25" customHeight="1">
      <c r="A110" s="22">
        <v>26</v>
      </c>
      <c r="B110" s="42">
        <v>106</v>
      </c>
      <c r="C110" s="54">
        <v>15795</v>
      </c>
      <c r="D110" s="44" t="s">
        <v>24</v>
      </c>
      <c r="E110" s="43">
        <v>3</v>
      </c>
      <c r="F110" s="56">
        <v>43361</v>
      </c>
      <c r="G110" s="61">
        <v>1</v>
      </c>
      <c r="H110" s="54">
        <v>1</v>
      </c>
      <c r="I110" s="54">
        <v>0</v>
      </c>
      <c r="J110" s="54">
        <v>1</v>
      </c>
      <c r="K110" s="61">
        <v>0</v>
      </c>
      <c r="L110" s="61">
        <v>3</v>
      </c>
      <c r="M110" s="54">
        <v>1</v>
      </c>
      <c r="N110" s="54">
        <v>1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63">
        <v>5130</v>
      </c>
      <c r="U110" s="63"/>
      <c r="V110" s="63"/>
      <c r="W110" s="63"/>
      <c r="X110" s="63"/>
      <c r="Y110" s="63"/>
      <c r="Z110" s="62">
        <f t="shared" si="21"/>
        <v>855</v>
      </c>
      <c r="AA110" s="62">
        <f t="shared" si="22"/>
        <v>0</v>
      </c>
      <c r="AB110" s="62">
        <f t="shared" si="23"/>
        <v>0</v>
      </c>
      <c r="AC110" s="62">
        <f t="shared" si="24"/>
        <v>0</v>
      </c>
      <c r="AD110" s="62">
        <f t="shared" si="25"/>
        <v>0</v>
      </c>
      <c r="AE110" s="62">
        <f t="shared" si="26"/>
        <v>0</v>
      </c>
      <c r="AF110" s="62">
        <f t="shared" si="27"/>
        <v>855</v>
      </c>
      <c r="AG110" s="54">
        <v>21</v>
      </c>
      <c r="AH110" s="77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</row>
    <row r="111" spans="1:92" s="24" customFormat="1" ht="18">
      <c r="A111" s="22"/>
      <c r="B111" s="53">
        <v>107</v>
      </c>
      <c r="C111" s="54">
        <v>2333</v>
      </c>
      <c r="D111" s="54" t="s">
        <v>25</v>
      </c>
      <c r="E111" s="61">
        <v>9</v>
      </c>
      <c r="F111" s="70">
        <v>43363</v>
      </c>
      <c r="G111" s="61">
        <v>1</v>
      </c>
      <c r="H111" s="61">
        <v>1</v>
      </c>
      <c r="I111" s="61">
        <v>0</v>
      </c>
      <c r="J111" s="61">
        <v>1</v>
      </c>
      <c r="K111" s="61">
        <v>0</v>
      </c>
      <c r="L111" s="61">
        <v>4</v>
      </c>
      <c r="M111" s="61">
        <v>1</v>
      </c>
      <c r="N111" s="61">
        <v>1</v>
      </c>
      <c r="O111" s="61">
        <v>0</v>
      </c>
      <c r="P111" s="61">
        <v>0</v>
      </c>
      <c r="Q111" s="61">
        <v>0</v>
      </c>
      <c r="R111" s="61">
        <v>0</v>
      </c>
      <c r="S111" s="61">
        <v>1</v>
      </c>
      <c r="T111" s="62">
        <f>14062.54+7892.05</f>
        <v>21954.59</v>
      </c>
      <c r="U111" s="62"/>
      <c r="V111" s="62"/>
      <c r="W111" s="62"/>
      <c r="X111" s="62"/>
      <c r="Y111" s="62"/>
      <c r="Z111" s="62">
        <f t="shared" si="21"/>
        <v>2744.32375</v>
      </c>
      <c r="AA111" s="62">
        <f t="shared" si="22"/>
        <v>0</v>
      </c>
      <c r="AB111" s="62">
        <f t="shared" si="23"/>
        <v>0</v>
      </c>
      <c r="AC111" s="62">
        <f t="shared" si="24"/>
        <v>0</v>
      </c>
      <c r="AD111" s="62">
        <f t="shared" si="25"/>
        <v>823.2971249999999</v>
      </c>
      <c r="AE111" s="62">
        <f t="shared" si="26"/>
        <v>0</v>
      </c>
      <c r="AF111" s="62">
        <f t="shared" si="27"/>
        <v>1921.026625</v>
      </c>
      <c r="AG111" s="54">
        <v>21</v>
      </c>
      <c r="AH111" s="80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</row>
    <row r="112" spans="1:92" s="24" customFormat="1" ht="18">
      <c r="A112" s="22">
        <v>14</v>
      </c>
      <c r="B112" s="57">
        <v>108</v>
      </c>
      <c r="C112" s="54">
        <v>2520</v>
      </c>
      <c r="D112" s="54" t="s">
        <v>25</v>
      </c>
      <c r="E112" s="44">
        <v>5</v>
      </c>
      <c r="F112" s="59">
        <v>43353</v>
      </c>
      <c r="G112" s="44">
        <v>1</v>
      </c>
      <c r="H112" s="44">
        <v>1</v>
      </c>
      <c r="I112" s="44">
        <v>1</v>
      </c>
      <c r="J112" s="44">
        <v>1</v>
      </c>
      <c r="K112" s="44">
        <v>0</v>
      </c>
      <c r="L112" s="44">
        <v>4</v>
      </c>
      <c r="M112" s="44">
        <v>1</v>
      </c>
      <c r="N112" s="44">
        <v>1</v>
      </c>
      <c r="O112" s="44">
        <v>0</v>
      </c>
      <c r="P112" s="44">
        <v>0</v>
      </c>
      <c r="Q112" s="44">
        <v>1</v>
      </c>
      <c r="R112" s="44">
        <v>0</v>
      </c>
      <c r="S112" s="44">
        <v>0</v>
      </c>
      <c r="T112" s="46"/>
      <c r="U112" s="46"/>
      <c r="V112" s="46">
        <v>5715</v>
      </c>
      <c r="W112" s="46"/>
      <c r="X112" s="46"/>
      <c r="Y112" s="46"/>
      <c r="Z112" s="46">
        <f t="shared" si="21"/>
        <v>1428.75</v>
      </c>
      <c r="AA112" s="46">
        <f t="shared" si="22"/>
        <v>0</v>
      </c>
      <c r="AB112" s="46">
        <f t="shared" si="23"/>
        <v>0</v>
      </c>
      <c r="AC112" s="46">
        <f t="shared" si="24"/>
        <v>0</v>
      </c>
      <c r="AD112" s="46">
        <f t="shared" si="25"/>
        <v>0</v>
      </c>
      <c r="AE112" s="46">
        <f t="shared" si="26"/>
        <v>428.625</v>
      </c>
      <c r="AF112" s="46">
        <f t="shared" si="27"/>
        <v>1000.125</v>
      </c>
      <c r="AG112" s="44">
        <v>20</v>
      </c>
      <c r="AH112" s="66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</row>
    <row r="113" spans="1:92" s="24" customFormat="1" ht="22.5" customHeight="1">
      <c r="A113" s="22"/>
      <c r="B113" s="57">
        <v>109</v>
      </c>
      <c r="C113" s="54">
        <v>15669</v>
      </c>
      <c r="D113" s="43" t="s">
        <v>26</v>
      </c>
      <c r="E113" s="43">
        <v>5</v>
      </c>
      <c r="F113" s="56">
        <v>43369</v>
      </c>
      <c r="G113" s="44">
        <v>1</v>
      </c>
      <c r="H113" s="43">
        <v>1</v>
      </c>
      <c r="I113" s="43">
        <v>1</v>
      </c>
      <c r="J113" s="43">
        <v>1</v>
      </c>
      <c r="K113" s="44">
        <v>0</v>
      </c>
      <c r="L113" s="44">
        <v>5</v>
      </c>
      <c r="M113" s="43">
        <v>1</v>
      </c>
      <c r="N113" s="43">
        <v>1</v>
      </c>
      <c r="O113" s="43">
        <v>0</v>
      </c>
      <c r="P113" s="43">
        <v>0</v>
      </c>
      <c r="Q113" s="43">
        <v>1</v>
      </c>
      <c r="R113" s="43">
        <v>0</v>
      </c>
      <c r="S113" s="43">
        <v>1</v>
      </c>
      <c r="T113" s="58">
        <v>13796.88</v>
      </c>
      <c r="U113" s="68"/>
      <c r="V113" s="58"/>
      <c r="W113" s="58"/>
      <c r="X113" s="58"/>
      <c r="Y113" s="58"/>
      <c r="Z113" s="46">
        <f t="shared" si="21"/>
        <v>1379.6879999999999</v>
      </c>
      <c r="AA113" s="46">
        <f t="shared" si="22"/>
        <v>0</v>
      </c>
      <c r="AB113" s="46">
        <f t="shared" si="23"/>
        <v>0</v>
      </c>
      <c r="AC113" s="46">
        <f t="shared" si="24"/>
        <v>0</v>
      </c>
      <c r="AD113" s="46">
        <f t="shared" si="25"/>
        <v>413.90639999999996</v>
      </c>
      <c r="AE113" s="46">
        <f t="shared" si="26"/>
        <v>413.90639999999996</v>
      </c>
      <c r="AF113" s="46">
        <f t="shared" si="27"/>
        <v>551.8752</v>
      </c>
      <c r="AG113" s="44">
        <v>20</v>
      </c>
      <c r="AH113" s="66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</row>
    <row r="114" spans="1:92" s="7" customFormat="1" ht="18">
      <c r="A114" s="9">
        <v>204</v>
      </c>
      <c r="B114" s="42">
        <v>110</v>
      </c>
      <c r="C114" s="54">
        <v>15899</v>
      </c>
      <c r="D114" s="43" t="s">
        <v>26</v>
      </c>
      <c r="E114" s="43">
        <v>3</v>
      </c>
      <c r="F114" s="56">
        <v>43373</v>
      </c>
      <c r="G114" s="44">
        <v>1</v>
      </c>
      <c r="H114" s="43">
        <v>1</v>
      </c>
      <c r="I114" s="43">
        <v>1</v>
      </c>
      <c r="J114" s="43">
        <v>1</v>
      </c>
      <c r="K114" s="44">
        <v>0</v>
      </c>
      <c r="L114" s="44">
        <v>3</v>
      </c>
      <c r="M114" s="43">
        <v>1</v>
      </c>
      <c r="N114" s="43">
        <v>1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58">
        <v>10392.45</v>
      </c>
      <c r="U114" s="58"/>
      <c r="V114" s="58"/>
      <c r="W114" s="58"/>
      <c r="X114" s="58"/>
      <c r="Y114" s="58"/>
      <c r="Z114" s="46">
        <f t="shared" si="21"/>
        <v>1732.075</v>
      </c>
      <c r="AA114" s="46">
        <f t="shared" si="22"/>
        <v>0</v>
      </c>
      <c r="AB114" s="46">
        <f t="shared" si="23"/>
        <v>0</v>
      </c>
      <c r="AC114" s="46">
        <f t="shared" si="24"/>
        <v>0</v>
      </c>
      <c r="AD114" s="46">
        <f t="shared" si="25"/>
        <v>0</v>
      </c>
      <c r="AE114" s="46">
        <f t="shared" si="26"/>
        <v>519.6225</v>
      </c>
      <c r="AF114" s="46">
        <f t="shared" si="27"/>
        <v>1212.4525</v>
      </c>
      <c r="AG114" s="44">
        <v>20</v>
      </c>
      <c r="AH114" s="66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</row>
    <row r="115" spans="1:92" s="24" customFormat="1" ht="22.5" customHeight="1">
      <c r="A115" s="22"/>
      <c r="B115" s="42"/>
      <c r="C115" s="43"/>
      <c r="D115" s="43"/>
      <c r="E115" s="43"/>
      <c r="F115" s="43"/>
      <c r="G115" s="42"/>
      <c r="H115" s="57"/>
      <c r="I115" s="57"/>
      <c r="J115" s="57"/>
      <c r="K115" s="42"/>
      <c r="L115" s="42"/>
      <c r="M115" s="57"/>
      <c r="N115" s="57"/>
      <c r="O115" s="57"/>
      <c r="P115" s="57"/>
      <c r="Q115" s="57"/>
      <c r="R115" s="57"/>
      <c r="S115" s="57"/>
      <c r="T115" s="58"/>
      <c r="U115" s="58"/>
      <c r="V115" s="58"/>
      <c r="W115" s="58"/>
      <c r="X115" s="58"/>
      <c r="Y115" s="58"/>
      <c r="Z115" s="45"/>
      <c r="AA115" s="45"/>
      <c r="AB115" s="45"/>
      <c r="AC115" s="45"/>
      <c r="AD115" s="45"/>
      <c r="AE115" s="45"/>
      <c r="AF115" s="45"/>
      <c r="AG115" s="43"/>
      <c r="AH115" s="76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</row>
    <row r="116" spans="1:34" ht="18">
      <c r="A116" s="3">
        <v>289</v>
      </c>
      <c r="B116" s="53"/>
      <c r="C116" s="54"/>
      <c r="D116" s="54"/>
      <c r="E116" s="54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4"/>
      <c r="AH116" s="78"/>
    </row>
    <row r="117" spans="1:33" ht="23.25">
      <c r="A117" s="3">
        <v>290</v>
      </c>
      <c r="B117" s="101" t="s">
        <v>29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</row>
    <row r="118" spans="1:34" ht="22.5" customHeight="1">
      <c r="A118" s="3">
        <v>180</v>
      </c>
      <c r="B118" s="42">
        <v>1</v>
      </c>
      <c r="C118" s="44">
        <v>2641</v>
      </c>
      <c r="D118" s="44" t="s">
        <v>25</v>
      </c>
      <c r="E118" s="44">
        <v>3</v>
      </c>
      <c r="F118" s="59">
        <v>43347</v>
      </c>
      <c r="G118" s="44">
        <v>1</v>
      </c>
      <c r="H118" s="44">
        <v>1</v>
      </c>
      <c r="I118" s="44">
        <v>0</v>
      </c>
      <c r="J118" s="44">
        <v>1</v>
      </c>
      <c r="K118" s="44">
        <v>1</v>
      </c>
      <c r="L118" s="44">
        <v>2</v>
      </c>
      <c r="M118" s="44">
        <v>1</v>
      </c>
      <c r="N118" s="44">
        <v>1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6">
        <v>13631.77</v>
      </c>
      <c r="U118" s="46"/>
      <c r="V118" s="46">
        <f>2517.5+2.8</f>
        <v>2520.3</v>
      </c>
      <c r="W118" s="46"/>
      <c r="X118" s="46"/>
      <c r="Y118" s="46"/>
      <c r="Z118" s="46">
        <f aca="true" t="shared" si="28" ref="Z118:Z125">((T118*50%+U118*85%+V118)/L118)+W118</f>
        <v>4668.092500000001</v>
      </c>
      <c r="AA118" s="46">
        <f aca="true" t="shared" si="29" ref="AA118:AA125">IF(O118=1,Z118*30%,0)</f>
        <v>0</v>
      </c>
      <c r="AB118" s="46">
        <f aca="true" t="shared" si="30" ref="AB118:AB125">IF(K118=1,Z118*20%,0)</f>
        <v>933.6185000000002</v>
      </c>
      <c r="AC118" s="46">
        <f aca="true" t="shared" si="31" ref="AC118:AC125">IF(R118=1,Z118*10%,0)</f>
        <v>0</v>
      </c>
      <c r="AD118" s="46">
        <f aca="true" t="shared" si="32" ref="AD118:AD125">IF(S118=1,Z118*30%,0)</f>
        <v>0</v>
      </c>
      <c r="AE118" s="46">
        <f aca="true" t="shared" si="33" ref="AE118:AE125">IF(I118=1,Z118*30%,0)</f>
        <v>0</v>
      </c>
      <c r="AF118" s="46">
        <f aca="true" t="shared" si="34" ref="AF118:AF125">Z118-AA118-AB118-AC118-AD118-AE118</f>
        <v>3734.4740000000006</v>
      </c>
      <c r="AG118" s="91">
        <v>0</v>
      </c>
      <c r="AH118" s="76"/>
    </row>
    <row r="119" spans="1:92" s="33" customFormat="1" ht="22.5" customHeight="1">
      <c r="A119" s="22"/>
      <c r="B119" s="42">
        <v>2</v>
      </c>
      <c r="C119" s="43">
        <v>15865</v>
      </c>
      <c r="D119" s="43" t="s">
        <v>26</v>
      </c>
      <c r="E119" s="43">
        <v>3</v>
      </c>
      <c r="F119" s="56">
        <v>43368</v>
      </c>
      <c r="G119" s="44">
        <v>1</v>
      </c>
      <c r="H119" s="43">
        <v>1</v>
      </c>
      <c r="I119" s="43">
        <v>0</v>
      </c>
      <c r="J119" s="43">
        <v>1</v>
      </c>
      <c r="K119" s="44">
        <v>1</v>
      </c>
      <c r="L119" s="44">
        <v>2</v>
      </c>
      <c r="M119" s="43">
        <v>1</v>
      </c>
      <c r="N119" s="43">
        <v>1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58">
        <v>192.85</v>
      </c>
      <c r="U119" s="58"/>
      <c r="V119" s="58">
        <v>4902</v>
      </c>
      <c r="W119" s="58"/>
      <c r="X119" s="58"/>
      <c r="Y119" s="58"/>
      <c r="Z119" s="46">
        <f t="shared" si="28"/>
        <v>2499.2125</v>
      </c>
      <c r="AA119" s="46">
        <f t="shared" si="29"/>
        <v>0</v>
      </c>
      <c r="AB119" s="46">
        <f t="shared" si="30"/>
        <v>499.84250000000003</v>
      </c>
      <c r="AC119" s="46">
        <f t="shared" si="31"/>
        <v>0</v>
      </c>
      <c r="AD119" s="46">
        <f t="shared" si="32"/>
        <v>0</v>
      </c>
      <c r="AE119" s="46">
        <f t="shared" si="33"/>
        <v>0</v>
      </c>
      <c r="AF119" s="46">
        <f t="shared" si="34"/>
        <v>1999.3700000000001</v>
      </c>
      <c r="AG119" s="92">
        <v>0</v>
      </c>
      <c r="AH119" s="66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</row>
    <row r="120" spans="1:92" s="21" customFormat="1" ht="22.5" customHeight="1">
      <c r="A120" s="19">
        <v>142</v>
      </c>
      <c r="B120" s="53">
        <v>3</v>
      </c>
      <c r="C120" s="54">
        <v>2556</v>
      </c>
      <c r="D120" s="54" t="s">
        <v>25</v>
      </c>
      <c r="E120" s="54">
        <v>5</v>
      </c>
      <c r="F120" s="64">
        <v>43381</v>
      </c>
      <c r="G120" s="54">
        <v>1</v>
      </c>
      <c r="H120" s="54">
        <v>1</v>
      </c>
      <c r="I120" s="54">
        <v>0</v>
      </c>
      <c r="J120" s="54">
        <v>1</v>
      </c>
      <c r="K120" s="61">
        <v>0</v>
      </c>
      <c r="L120" s="61">
        <v>4</v>
      </c>
      <c r="M120" s="61">
        <v>1</v>
      </c>
      <c r="N120" s="54">
        <v>1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62">
        <f>9066.67+3600</f>
        <v>12666.67</v>
      </c>
      <c r="U120" s="62"/>
      <c r="V120" s="62"/>
      <c r="W120" s="62"/>
      <c r="X120" s="62"/>
      <c r="Y120" s="62"/>
      <c r="Z120" s="62">
        <f t="shared" si="28"/>
        <v>1583.33375</v>
      </c>
      <c r="AA120" s="62">
        <f t="shared" si="29"/>
        <v>0</v>
      </c>
      <c r="AB120" s="62">
        <f t="shared" si="30"/>
        <v>0</v>
      </c>
      <c r="AC120" s="62">
        <f t="shared" si="31"/>
        <v>0</v>
      </c>
      <c r="AD120" s="62">
        <f t="shared" si="32"/>
        <v>0</v>
      </c>
      <c r="AE120" s="62">
        <f t="shared" si="33"/>
        <v>0</v>
      </c>
      <c r="AF120" s="62">
        <f t="shared" si="34"/>
        <v>1583.33375</v>
      </c>
      <c r="AG120" s="87">
        <v>0</v>
      </c>
      <c r="AH120" s="107" t="s">
        <v>28</v>
      </c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</row>
    <row r="121" spans="1:92" s="21" customFormat="1" ht="22.5" customHeight="1">
      <c r="A121" s="19"/>
      <c r="B121" s="57">
        <v>4</v>
      </c>
      <c r="C121" s="54">
        <v>15531</v>
      </c>
      <c r="D121" s="43" t="s">
        <v>24</v>
      </c>
      <c r="E121" s="43">
        <v>5</v>
      </c>
      <c r="F121" s="56">
        <v>43364</v>
      </c>
      <c r="G121" s="43">
        <v>1</v>
      </c>
      <c r="H121" s="43">
        <v>1</v>
      </c>
      <c r="I121" s="44">
        <v>1</v>
      </c>
      <c r="J121" s="43">
        <v>1</v>
      </c>
      <c r="K121" s="44">
        <v>0</v>
      </c>
      <c r="L121" s="44">
        <v>4</v>
      </c>
      <c r="M121" s="44">
        <v>1</v>
      </c>
      <c r="N121" s="43">
        <v>1</v>
      </c>
      <c r="O121" s="43">
        <v>0</v>
      </c>
      <c r="P121" s="43">
        <v>0</v>
      </c>
      <c r="Q121" s="43">
        <v>0</v>
      </c>
      <c r="R121" s="44">
        <v>0</v>
      </c>
      <c r="S121" s="43">
        <v>0</v>
      </c>
      <c r="T121" s="46">
        <v>4465.56</v>
      </c>
      <c r="U121" s="46"/>
      <c r="V121" s="46"/>
      <c r="W121" s="46"/>
      <c r="X121" s="46"/>
      <c r="Y121" s="46"/>
      <c r="Z121" s="46">
        <f t="shared" si="28"/>
        <v>558.195</v>
      </c>
      <c r="AA121" s="46">
        <f t="shared" si="29"/>
        <v>0</v>
      </c>
      <c r="AB121" s="46">
        <f t="shared" si="30"/>
        <v>0</v>
      </c>
      <c r="AC121" s="46">
        <f t="shared" si="31"/>
        <v>0</v>
      </c>
      <c r="AD121" s="46">
        <f t="shared" si="32"/>
        <v>0</v>
      </c>
      <c r="AE121" s="46">
        <f t="shared" si="33"/>
        <v>167.45850000000002</v>
      </c>
      <c r="AF121" s="46">
        <f t="shared" si="34"/>
        <v>390.73650000000004</v>
      </c>
      <c r="AG121" s="92">
        <v>0</v>
      </c>
      <c r="AH121" s="66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</row>
    <row r="122" spans="1:34" ht="22.5" customHeight="1">
      <c r="A122" s="3">
        <v>65</v>
      </c>
      <c r="B122" s="42">
        <v>5</v>
      </c>
      <c r="C122" s="54">
        <v>15780</v>
      </c>
      <c r="D122" s="44" t="s">
        <v>24</v>
      </c>
      <c r="E122" s="44">
        <v>3</v>
      </c>
      <c r="F122" s="59">
        <v>43356</v>
      </c>
      <c r="G122" s="44">
        <v>1</v>
      </c>
      <c r="H122" s="44">
        <v>1</v>
      </c>
      <c r="I122" s="44">
        <v>0</v>
      </c>
      <c r="J122" s="44">
        <v>1</v>
      </c>
      <c r="K122" s="44">
        <v>0</v>
      </c>
      <c r="L122" s="44">
        <v>3</v>
      </c>
      <c r="M122" s="44">
        <v>1</v>
      </c>
      <c r="N122" s="44">
        <v>1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6">
        <v>2200.09</v>
      </c>
      <c r="U122" s="46">
        <v>150</v>
      </c>
      <c r="V122" s="46">
        <v>1300</v>
      </c>
      <c r="W122" s="46"/>
      <c r="X122" s="46"/>
      <c r="Y122" s="46"/>
      <c r="Z122" s="46">
        <f t="shared" si="28"/>
        <v>842.515</v>
      </c>
      <c r="AA122" s="46">
        <f t="shared" si="29"/>
        <v>0</v>
      </c>
      <c r="AB122" s="46">
        <f t="shared" si="30"/>
        <v>0</v>
      </c>
      <c r="AC122" s="46">
        <f t="shared" si="31"/>
        <v>0</v>
      </c>
      <c r="AD122" s="46">
        <f t="shared" si="32"/>
        <v>0</v>
      </c>
      <c r="AE122" s="46">
        <f t="shared" si="33"/>
        <v>0</v>
      </c>
      <c r="AF122" s="46">
        <f t="shared" si="34"/>
        <v>842.515</v>
      </c>
      <c r="AG122" s="92">
        <v>0</v>
      </c>
      <c r="AH122" s="66"/>
    </row>
    <row r="123" spans="1:92" s="21" customFormat="1" ht="22.5" customHeight="1">
      <c r="A123" s="19">
        <v>55</v>
      </c>
      <c r="B123" s="53">
        <v>6</v>
      </c>
      <c r="C123" s="54">
        <v>15940</v>
      </c>
      <c r="D123" s="43" t="s">
        <v>24</v>
      </c>
      <c r="E123" s="54">
        <v>3</v>
      </c>
      <c r="F123" s="64">
        <v>43356</v>
      </c>
      <c r="G123" s="54">
        <v>1</v>
      </c>
      <c r="H123" s="54">
        <v>1</v>
      </c>
      <c r="I123" s="54">
        <v>0</v>
      </c>
      <c r="J123" s="54">
        <v>1</v>
      </c>
      <c r="K123" s="61">
        <v>0</v>
      </c>
      <c r="L123" s="61">
        <v>6</v>
      </c>
      <c r="M123" s="61">
        <v>1</v>
      </c>
      <c r="N123" s="54">
        <v>1</v>
      </c>
      <c r="O123" s="54">
        <v>1</v>
      </c>
      <c r="P123" s="54">
        <v>1</v>
      </c>
      <c r="Q123" s="54">
        <v>0</v>
      </c>
      <c r="R123" s="54">
        <v>0</v>
      </c>
      <c r="S123" s="54">
        <v>0</v>
      </c>
      <c r="T123" s="62">
        <f>3315.18+621.21</f>
        <v>3936.39</v>
      </c>
      <c r="U123" s="62">
        <v>1552.5</v>
      </c>
      <c r="V123" s="62">
        <v>2010.09</v>
      </c>
      <c r="W123" s="62"/>
      <c r="X123" s="62"/>
      <c r="Y123" s="62"/>
      <c r="Z123" s="62">
        <f t="shared" si="28"/>
        <v>882.985</v>
      </c>
      <c r="AA123" s="62">
        <f t="shared" si="29"/>
        <v>264.89549999999997</v>
      </c>
      <c r="AB123" s="62">
        <f t="shared" si="30"/>
        <v>0</v>
      </c>
      <c r="AC123" s="62">
        <f t="shared" si="31"/>
        <v>0</v>
      </c>
      <c r="AD123" s="62">
        <f t="shared" si="32"/>
        <v>0</v>
      </c>
      <c r="AE123" s="62">
        <f t="shared" si="33"/>
        <v>0</v>
      </c>
      <c r="AF123" s="62">
        <f t="shared" si="34"/>
        <v>618.0895</v>
      </c>
      <c r="AG123" s="87">
        <v>0</v>
      </c>
      <c r="AH123" s="77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</row>
    <row r="124" spans="1:92" s="24" customFormat="1" ht="22.5" customHeight="1">
      <c r="A124" s="22">
        <v>131</v>
      </c>
      <c r="B124" s="42">
        <v>7</v>
      </c>
      <c r="C124" s="54">
        <v>15443</v>
      </c>
      <c r="D124" s="43" t="s">
        <v>24</v>
      </c>
      <c r="E124" s="43">
        <v>7</v>
      </c>
      <c r="F124" s="56">
        <v>43360</v>
      </c>
      <c r="G124" s="44">
        <v>1</v>
      </c>
      <c r="H124" s="43">
        <v>1</v>
      </c>
      <c r="I124" s="43">
        <v>0</v>
      </c>
      <c r="J124" s="43">
        <v>1</v>
      </c>
      <c r="K124" s="44">
        <v>0</v>
      </c>
      <c r="L124" s="44">
        <v>3</v>
      </c>
      <c r="M124" s="43">
        <v>1</v>
      </c>
      <c r="N124" s="43">
        <v>1</v>
      </c>
      <c r="O124" s="43">
        <v>0</v>
      </c>
      <c r="P124" s="43">
        <v>0</v>
      </c>
      <c r="Q124" s="43">
        <v>1</v>
      </c>
      <c r="R124" s="43">
        <v>0</v>
      </c>
      <c r="S124" s="43">
        <v>0</v>
      </c>
      <c r="T124" s="58">
        <f>4573.22+5162.96</f>
        <v>9736.18</v>
      </c>
      <c r="U124" s="58"/>
      <c r="V124" s="58"/>
      <c r="W124" s="58"/>
      <c r="X124" s="58"/>
      <c r="Y124" s="58"/>
      <c r="Z124" s="46">
        <f t="shared" si="28"/>
        <v>1622.6966666666667</v>
      </c>
      <c r="AA124" s="46">
        <f t="shared" si="29"/>
        <v>0</v>
      </c>
      <c r="AB124" s="46">
        <f t="shared" si="30"/>
        <v>0</v>
      </c>
      <c r="AC124" s="46">
        <f t="shared" si="31"/>
        <v>0</v>
      </c>
      <c r="AD124" s="46">
        <f t="shared" si="32"/>
        <v>0</v>
      </c>
      <c r="AE124" s="46">
        <f t="shared" si="33"/>
        <v>0</v>
      </c>
      <c r="AF124" s="46">
        <f t="shared" si="34"/>
        <v>1622.6966666666667</v>
      </c>
      <c r="AG124" s="91">
        <v>0</v>
      </c>
      <c r="AH124" s="76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</row>
    <row r="125" spans="1:92" s="24" customFormat="1" ht="22.5" customHeight="1">
      <c r="A125" s="22"/>
      <c r="B125" s="42">
        <v>8</v>
      </c>
      <c r="C125" s="54">
        <v>15933</v>
      </c>
      <c r="D125" s="43" t="s">
        <v>24</v>
      </c>
      <c r="E125" s="43">
        <v>3</v>
      </c>
      <c r="F125" s="56">
        <v>43372</v>
      </c>
      <c r="G125" s="44">
        <v>1</v>
      </c>
      <c r="H125" s="43">
        <v>1</v>
      </c>
      <c r="I125" s="43">
        <v>0</v>
      </c>
      <c r="J125" s="43">
        <v>1</v>
      </c>
      <c r="K125" s="44">
        <v>0</v>
      </c>
      <c r="L125" s="44">
        <v>5</v>
      </c>
      <c r="M125" s="43">
        <v>1</v>
      </c>
      <c r="N125" s="43">
        <v>1</v>
      </c>
      <c r="O125" s="43">
        <v>1</v>
      </c>
      <c r="P125" s="43">
        <v>0</v>
      </c>
      <c r="Q125" s="43">
        <v>1</v>
      </c>
      <c r="R125" s="43">
        <v>0</v>
      </c>
      <c r="S125" s="43">
        <v>0</v>
      </c>
      <c r="T125" s="58">
        <f>4176.46+678.06+11797.84</f>
        <v>16652.36</v>
      </c>
      <c r="U125" s="58"/>
      <c r="V125" s="58">
        <f>4871.62+11801.07-T125</f>
        <v>20.32999999999811</v>
      </c>
      <c r="W125" s="58"/>
      <c r="X125" s="58"/>
      <c r="Y125" s="58"/>
      <c r="Z125" s="46">
        <f t="shared" si="28"/>
        <v>1669.3019999999997</v>
      </c>
      <c r="AA125" s="46">
        <f t="shared" si="29"/>
        <v>500.79059999999987</v>
      </c>
      <c r="AB125" s="46">
        <f t="shared" si="30"/>
        <v>0</v>
      </c>
      <c r="AC125" s="46">
        <f t="shared" si="31"/>
        <v>0</v>
      </c>
      <c r="AD125" s="46">
        <f t="shared" si="32"/>
        <v>0</v>
      </c>
      <c r="AE125" s="46">
        <f t="shared" si="33"/>
        <v>0</v>
      </c>
      <c r="AF125" s="46">
        <f t="shared" si="34"/>
        <v>1168.5113999999999</v>
      </c>
      <c r="AG125" s="92">
        <v>0</v>
      </c>
      <c r="AH125" s="66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</row>
    <row r="126" spans="1:34" s="7" customFormat="1" ht="18">
      <c r="A126" s="41">
        <v>78</v>
      </c>
      <c r="B126" s="42">
        <v>9</v>
      </c>
      <c r="C126" s="54">
        <v>15762</v>
      </c>
      <c r="D126" s="43" t="s">
        <v>24</v>
      </c>
      <c r="E126" s="44">
        <v>3</v>
      </c>
      <c r="F126" s="59">
        <v>43343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6"/>
      <c r="U126" s="46"/>
      <c r="V126" s="46"/>
      <c r="W126" s="46"/>
      <c r="X126" s="46"/>
      <c r="Y126" s="46"/>
      <c r="Z126" s="45"/>
      <c r="AA126" s="45"/>
      <c r="AB126" s="45"/>
      <c r="AC126" s="45"/>
      <c r="AD126" s="45"/>
      <c r="AE126" s="45"/>
      <c r="AF126" s="45"/>
      <c r="AG126" s="91">
        <v>0</v>
      </c>
      <c r="AH126" s="89" t="s">
        <v>38</v>
      </c>
    </row>
    <row r="127" spans="1:92" s="21" customFormat="1" ht="18">
      <c r="A127" s="19">
        <v>129</v>
      </c>
      <c r="B127" s="53">
        <v>10</v>
      </c>
      <c r="C127" s="54">
        <v>15259</v>
      </c>
      <c r="D127" s="43" t="s">
        <v>24</v>
      </c>
      <c r="E127" s="54">
        <v>9</v>
      </c>
      <c r="F127" s="64">
        <v>43365</v>
      </c>
      <c r="G127" s="54">
        <v>1</v>
      </c>
      <c r="H127" s="54">
        <v>1</v>
      </c>
      <c r="I127" s="54">
        <v>0</v>
      </c>
      <c r="J127" s="54">
        <v>1</v>
      </c>
      <c r="K127" s="61">
        <v>0</v>
      </c>
      <c r="L127" s="61">
        <v>3</v>
      </c>
      <c r="M127" s="61">
        <v>1</v>
      </c>
      <c r="N127" s="54">
        <v>1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62"/>
      <c r="U127" s="62">
        <v>261.24</v>
      </c>
      <c r="V127" s="62">
        <v>2204.03</v>
      </c>
      <c r="W127" s="62"/>
      <c r="X127" s="62"/>
      <c r="Y127" s="62"/>
      <c r="Z127" s="62">
        <f aca="true" t="shared" si="35" ref="Z127:Z142">((T127*50%+U127*85%+V127)/L127)+W127</f>
        <v>808.6946666666668</v>
      </c>
      <c r="AA127" s="62">
        <f aca="true" t="shared" si="36" ref="AA127:AA142">IF(O127=1,Z127*30%,0)</f>
        <v>0</v>
      </c>
      <c r="AB127" s="62">
        <f aca="true" t="shared" si="37" ref="AB127:AB142">IF(K127=1,Z127*20%,0)</f>
        <v>0</v>
      </c>
      <c r="AC127" s="62">
        <f aca="true" t="shared" si="38" ref="AC127:AC142">IF(R127=1,Z127*10%,0)</f>
        <v>0</v>
      </c>
      <c r="AD127" s="62">
        <f aca="true" t="shared" si="39" ref="AD127:AD142">IF(S127=1,Z127*30%,0)</f>
        <v>0</v>
      </c>
      <c r="AE127" s="62">
        <f aca="true" t="shared" si="40" ref="AE127:AE142">IF(I127=1,Z127*30%,0)</f>
        <v>0</v>
      </c>
      <c r="AF127" s="62">
        <f aca="true" t="shared" si="41" ref="AF127:AF142">Z127-AA127-AB127-AC127-AD127-AE127</f>
        <v>808.6946666666668</v>
      </c>
      <c r="AG127" s="87">
        <v>4</v>
      </c>
      <c r="AH127" s="8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</row>
    <row r="128" spans="1:92" s="24" customFormat="1" ht="22.5" customHeight="1">
      <c r="A128" s="22">
        <v>194</v>
      </c>
      <c r="B128" s="42">
        <v>11</v>
      </c>
      <c r="C128" s="54">
        <v>15825</v>
      </c>
      <c r="D128" s="43" t="s">
        <v>24</v>
      </c>
      <c r="E128" s="43">
        <v>3</v>
      </c>
      <c r="F128" s="56">
        <v>43372</v>
      </c>
      <c r="G128" s="44">
        <v>1</v>
      </c>
      <c r="H128" s="43">
        <v>1</v>
      </c>
      <c r="I128" s="43">
        <v>0</v>
      </c>
      <c r="J128" s="43">
        <v>1</v>
      </c>
      <c r="K128" s="44">
        <v>1</v>
      </c>
      <c r="L128" s="44">
        <v>3</v>
      </c>
      <c r="M128" s="43">
        <v>1</v>
      </c>
      <c r="N128" s="43">
        <v>1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58"/>
      <c r="U128" s="58"/>
      <c r="V128" s="58">
        <v>5730</v>
      </c>
      <c r="W128" s="58"/>
      <c r="X128" s="58"/>
      <c r="Y128" s="58"/>
      <c r="Z128" s="46">
        <f t="shared" si="35"/>
        <v>1910</v>
      </c>
      <c r="AA128" s="46">
        <f t="shared" si="36"/>
        <v>0</v>
      </c>
      <c r="AB128" s="46">
        <f t="shared" si="37"/>
        <v>382</v>
      </c>
      <c r="AC128" s="46">
        <f t="shared" si="38"/>
        <v>0</v>
      </c>
      <c r="AD128" s="46">
        <f t="shared" si="39"/>
        <v>0</v>
      </c>
      <c r="AE128" s="46">
        <f t="shared" si="40"/>
        <v>0</v>
      </c>
      <c r="AF128" s="46">
        <f t="shared" si="41"/>
        <v>1528</v>
      </c>
      <c r="AG128" s="91">
        <v>4</v>
      </c>
      <c r="AH128" s="76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</row>
    <row r="129" spans="1:92" s="24" customFormat="1" ht="22.5" customHeight="1">
      <c r="A129" s="22">
        <v>145</v>
      </c>
      <c r="B129" s="42">
        <v>12</v>
      </c>
      <c r="C129" s="54">
        <v>15273</v>
      </c>
      <c r="D129" s="43" t="s">
        <v>24</v>
      </c>
      <c r="E129" s="43">
        <v>7</v>
      </c>
      <c r="F129" s="56">
        <v>43370</v>
      </c>
      <c r="G129" s="44">
        <v>1</v>
      </c>
      <c r="H129" s="43">
        <v>1</v>
      </c>
      <c r="I129" s="43">
        <v>1</v>
      </c>
      <c r="J129" s="43">
        <v>1</v>
      </c>
      <c r="K129" s="44">
        <v>0</v>
      </c>
      <c r="L129" s="44">
        <v>3</v>
      </c>
      <c r="M129" s="43">
        <v>1</v>
      </c>
      <c r="N129" s="43">
        <v>1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58">
        <v>11278.78</v>
      </c>
      <c r="U129" s="58"/>
      <c r="V129" s="58"/>
      <c r="W129" s="58"/>
      <c r="X129" s="58"/>
      <c r="Y129" s="58"/>
      <c r="Z129" s="46">
        <f t="shared" si="35"/>
        <v>1879.7966666666669</v>
      </c>
      <c r="AA129" s="46">
        <f t="shared" si="36"/>
        <v>0</v>
      </c>
      <c r="AB129" s="46">
        <f t="shared" si="37"/>
        <v>0</v>
      </c>
      <c r="AC129" s="46">
        <f t="shared" si="38"/>
        <v>0</v>
      </c>
      <c r="AD129" s="46">
        <f t="shared" si="39"/>
        <v>0</v>
      </c>
      <c r="AE129" s="46">
        <f t="shared" si="40"/>
        <v>563.9390000000001</v>
      </c>
      <c r="AF129" s="46">
        <f t="shared" si="41"/>
        <v>1315.8576666666668</v>
      </c>
      <c r="AG129" s="92">
        <v>5</v>
      </c>
      <c r="AH129" s="66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</row>
    <row r="130" spans="1:92" s="21" customFormat="1" ht="22.5" customHeight="1">
      <c r="A130" s="19"/>
      <c r="B130" s="57">
        <v>13</v>
      </c>
      <c r="C130" s="54">
        <v>15643</v>
      </c>
      <c r="D130" s="43" t="s">
        <v>24</v>
      </c>
      <c r="E130" s="43">
        <v>5</v>
      </c>
      <c r="F130" s="56">
        <v>43370</v>
      </c>
      <c r="G130" s="43">
        <v>1</v>
      </c>
      <c r="H130" s="43">
        <v>1</v>
      </c>
      <c r="I130" s="43">
        <v>0</v>
      </c>
      <c r="J130" s="43">
        <v>1</v>
      </c>
      <c r="K130" s="44">
        <v>0</v>
      </c>
      <c r="L130" s="44">
        <v>4</v>
      </c>
      <c r="M130" s="44">
        <v>1</v>
      </c>
      <c r="N130" s="43">
        <v>1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46">
        <f>6666.09+9830.1</f>
        <v>16496.190000000002</v>
      </c>
      <c r="U130" s="46"/>
      <c r="V130" s="46">
        <v>3078</v>
      </c>
      <c r="W130" s="46"/>
      <c r="X130" s="46"/>
      <c r="Y130" s="46"/>
      <c r="Z130" s="46">
        <f t="shared" si="35"/>
        <v>2831.5237500000003</v>
      </c>
      <c r="AA130" s="46">
        <f t="shared" si="36"/>
        <v>0</v>
      </c>
      <c r="AB130" s="46">
        <f t="shared" si="37"/>
        <v>0</v>
      </c>
      <c r="AC130" s="46">
        <f t="shared" si="38"/>
        <v>0</v>
      </c>
      <c r="AD130" s="46">
        <f t="shared" si="39"/>
        <v>0</v>
      </c>
      <c r="AE130" s="46">
        <f t="shared" si="40"/>
        <v>0</v>
      </c>
      <c r="AF130" s="46">
        <f t="shared" si="41"/>
        <v>2831.5237500000003</v>
      </c>
      <c r="AG130" s="92">
        <v>6</v>
      </c>
      <c r="AH130" s="66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</row>
    <row r="131" spans="1:34" ht="22.5" customHeight="1">
      <c r="A131" s="3">
        <v>174</v>
      </c>
      <c r="B131" s="42">
        <v>14</v>
      </c>
      <c r="C131" s="54">
        <v>15543</v>
      </c>
      <c r="D131" s="43" t="s">
        <v>24</v>
      </c>
      <c r="E131" s="44">
        <v>5</v>
      </c>
      <c r="F131" s="59">
        <v>43373</v>
      </c>
      <c r="G131" s="44">
        <v>1</v>
      </c>
      <c r="H131" s="44">
        <v>1</v>
      </c>
      <c r="I131" s="44">
        <v>0</v>
      </c>
      <c r="J131" s="44">
        <v>1</v>
      </c>
      <c r="K131" s="44">
        <v>0</v>
      </c>
      <c r="L131" s="44">
        <v>4</v>
      </c>
      <c r="M131" s="44">
        <v>1</v>
      </c>
      <c r="N131" s="44">
        <v>1</v>
      </c>
      <c r="O131" s="44">
        <v>1</v>
      </c>
      <c r="P131" s="44">
        <v>0</v>
      </c>
      <c r="Q131" s="44">
        <v>1</v>
      </c>
      <c r="R131" s="44">
        <v>1</v>
      </c>
      <c r="S131" s="44">
        <v>0</v>
      </c>
      <c r="T131" s="46">
        <v>10204.58</v>
      </c>
      <c r="U131" s="46"/>
      <c r="V131" s="46"/>
      <c r="W131" s="46"/>
      <c r="X131" s="46"/>
      <c r="Y131" s="46"/>
      <c r="Z131" s="46">
        <f t="shared" si="35"/>
        <v>1275.5725</v>
      </c>
      <c r="AA131" s="46">
        <f t="shared" si="36"/>
        <v>382.67175</v>
      </c>
      <c r="AB131" s="46">
        <f t="shared" si="37"/>
        <v>0</v>
      </c>
      <c r="AC131" s="46">
        <f t="shared" si="38"/>
        <v>127.55725000000001</v>
      </c>
      <c r="AD131" s="46">
        <f t="shared" si="39"/>
        <v>0</v>
      </c>
      <c r="AE131" s="46">
        <f t="shared" si="40"/>
        <v>0</v>
      </c>
      <c r="AF131" s="46">
        <f t="shared" si="41"/>
        <v>765.3435</v>
      </c>
      <c r="AG131" s="91">
        <v>6</v>
      </c>
      <c r="AH131" s="75"/>
    </row>
    <row r="132" spans="1:92" s="18" customFormat="1" ht="22.5" customHeight="1">
      <c r="A132" s="16"/>
      <c r="B132" s="42">
        <v>15</v>
      </c>
      <c r="C132" s="54">
        <v>15559</v>
      </c>
      <c r="D132" s="44" t="s">
        <v>24</v>
      </c>
      <c r="E132" s="44">
        <v>5</v>
      </c>
      <c r="F132" s="59">
        <v>43346</v>
      </c>
      <c r="G132" s="44">
        <v>1</v>
      </c>
      <c r="H132" s="44">
        <v>1</v>
      </c>
      <c r="I132" s="44">
        <v>1</v>
      </c>
      <c r="J132" s="44">
        <v>1</v>
      </c>
      <c r="K132" s="44">
        <v>0</v>
      </c>
      <c r="L132" s="44">
        <v>4</v>
      </c>
      <c r="M132" s="44">
        <v>1</v>
      </c>
      <c r="N132" s="44">
        <v>1</v>
      </c>
      <c r="O132" s="44">
        <v>1</v>
      </c>
      <c r="P132" s="44">
        <v>0</v>
      </c>
      <c r="Q132" s="44">
        <v>0</v>
      </c>
      <c r="R132" s="44">
        <v>0</v>
      </c>
      <c r="S132" s="44">
        <v>0</v>
      </c>
      <c r="T132" s="46">
        <v>11319.12</v>
      </c>
      <c r="U132" s="46"/>
      <c r="V132" s="46"/>
      <c r="W132" s="46"/>
      <c r="X132" s="46"/>
      <c r="Y132" s="46"/>
      <c r="Z132" s="46">
        <f t="shared" si="35"/>
        <v>1414.89</v>
      </c>
      <c r="AA132" s="46">
        <f t="shared" si="36"/>
        <v>424.46700000000004</v>
      </c>
      <c r="AB132" s="46">
        <f t="shared" si="37"/>
        <v>0</v>
      </c>
      <c r="AC132" s="46">
        <f t="shared" si="38"/>
        <v>0</v>
      </c>
      <c r="AD132" s="46">
        <f t="shared" si="39"/>
        <v>0</v>
      </c>
      <c r="AE132" s="46">
        <f t="shared" si="40"/>
        <v>424.46700000000004</v>
      </c>
      <c r="AF132" s="46">
        <f t="shared" si="41"/>
        <v>565.9559999999999</v>
      </c>
      <c r="AG132" s="92">
        <v>9</v>
      </c>
      <c r="AH132" s="66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</row>
    <row r="133" spans="1:34" ht="22.5" customHeight="1">
      <c r="A133" s="3"/>
      <c r="B133" s="42">
        <v>16</v>
      </c>
      <c r="C133" s="54">
        <v>15538</v>
      </c>
      <c r="D133" s="44" t="s">
        <v>24</v>
      </c>
      <c r="E133" s="44">
        <v>5</v>
      </c>
      <c r="F133" s="59">
        <v>43343</v>
      </c>
      <c r="G133" s="44">
        <v>1</v>
      </c>
      <c r="H133" s="44">
        <v>1</v>
      </c>
      <c r="I133" s="44">
        <v>1</v>
      </c>
      <c r="J133" s="44">
        <v>1</v>
      </c>
      <c r="K133" s="44">
        <v>0</v>
      </c>
      <c r="L133" s="44">
        <v>3</v>
      </c>
      <c r="M133" s="44">
        <v>1</v>
      </c>
      <c r="N133" s="44">
        <v>1</v>
      </c>
      <c r="O133" s="44">
        <v>1</v>
      </c>
      <c r="P133" s="44">
        <v>0</v>
      </c>
      <c r="Q133" s="44">
        <v>0</v>
      </c>
      <c r="R133" s="44">
        <v>0</v>
      </c>
      <c r="S133" s="44">
        <v>0</v>
      </c>
      <c r="T133" s="46">
        <v>8220.56</v>
      </c>
      <c r="U133" s="46"/>
      <c r="V133" s="46"/>
      <c r="W133" s="46"/>
      <c r="X133" s="46"/>
      <c r="Y133" s="46"/>
      <c r="Z133" s="46">
        <f t="shared" si="35"/>
        <v>1370.0933333333332</v>
      </c>
      <c r="AA133" s="46">
        <f t="shared" si="36"/>
        <v>411.02799999999996</v>
      </c>
      <c r="AB133" s="46">
        <f t="shared" si="37"/>
        <v>0</v>
      </c>
      <c r="AC133" s="46">
        <f t="shared" si="38"/>
        <v>0</v>
      </c>
      <c r="AD133" s="46">
        <f t="shared" si="39"/>
        <v>0</v>
      </c>
      <c r="AE133" s="46">
        <f t="shared" si="40"/>
        <v>411.02799999999996</v>
      </c>
      <c r="AF133" s="46">
        <f t="shared" si="41"/>
        <v>548.0373333333332</v>
      </c>
      <c r="AG133" s="92">
        <v>11</v>
      </c>
      <c r="AH133" s="66"/>
    </row>
    <row r="134" spans="1:92" s="21" customFormat="1" ht="22.5" customHeight="1">
      <c r="A134" s="19">
        <v>107</v>
      </c>
      <c r="B134" s="53">
        <v>17</v>
      </c>
      <c r="C134" s="54">
        <v>15537</v>
      </c>
      <c r="D134" s="43" t="s">
        <v>24</v>
      </c>
      <c r="E134" s="54">
        <v>5</v>
      </c>
      <c r="F134" s="64">
        <v>43362</v>
      </c>
      <c r="G134" s="54">
        <v>1</v>
      </c>
      <c r="H134" s="54">
        <v>1</v>
      </c>
      <c r="I134" s="54">
        <v>0</v>
      </c>
      <c r="J134" s="54">
        <v>1</v>
      </c>
      <c r="K134" s="61">
        <v>0</v>
      </c>
      <c r="L134" s="61">
        <v>3</v>
      </c>
      <c r="M134" s="61">
        <v>1</v>
      </c>
      <c r="N134" s="54">
        <v>1</v>
      </c>
      <c r="O134" s="54">
        <v>1</v>
      </c>
      <c r="P134" s="54">
        <v>0</v>
      </c>
      <c r="Q134" s="54">
        <v>0</v>
      </c>
      <c r="R134" s="54">
        <v>1</v>
      </c>
      <c r="S134" s="54">
        <v>0</v>
      </c>
      <c r="T134" s="62">
        <v>16500.7</v>
      </c>
      <c r="U134" s="62"/>
      <c r="V134" s="62">
        <f>855.86+6.83</f>
        <v>862.69</v>
      </c>
      <c r="W134" s="62"/>
      <c r="X134" s="62"/>
      <c r="Y134" s="62"/>
      <c r="Z134" s="62">
        <f t="shared" si="35"/>
        <v>3037.6800000000003</v>
      </c>
      <c r="AA134" s="62">
        <f t="shared" si="36"/>
        <v>911.3040000000001</v>
      </c>
      <c r="AB134" s="62">
        <f t="shared" si="37"/>
        <v>0</v>
      </c>
      <c r="AC134" s="62">
        <f t="shared" si="38"/>
        <v>303.76800000000003</v>
      </c>
      <c r="AD134" s="62">
        <f t="shared" si="39"/>
        <v>0</v>
      </c>
      <c r="AE134" s="62">
        <f t="shared" si="40"/>
        <v>0</v>
      </c>
      <c r="AF134" s="62">
        <f t="shared" si="41"/>
        <v>1822.6080000000002</v>
      </c>
      <c r="AG134" s="87">
        <v>11</v>
      </c>
      <c r="AH134" s="77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</row>
    <row r="135" spans="1:92" s="21" customFormat="1" ht="18">
      <c r="A135" s="19">
        <v>41</v>
      </c>
      <c r="B135" s="57">
        <v>18</v>
      </c>
      <c r="C135" s="54">
        <v>2619</v>
      </c>
      <c r="D135" s="43" t="s">
        <v>25</v>
      </c>
      <c r="E135" s="43">
        <v>5</v>
      </c>
      <c r="F135" s="56">
        <v>43354</v>
      </c>
      <c r="G135" s="43">
        <v>1</v>
      </c>
      <c r="H135" s="43">
        <v>1</v>
      </c>
      <c r="I135" s="44">
        <v>0</v>
      </c>
      <c r="J135" s="43">
        <v>1</v>
      </c>
      <c r="K135" s="44">
        <v>0</v>
      </c>
      <c r="L135" s="44">
        <v>1</v>
      </c>
      <c r="M135" s="44">
        <v>1</v>
      </c>
      <c r="N135" s="43">
        <v>1</v>
      </c>
      <c r="O135" s="43">
        <v>0</v>
      </c>
      <c r="P135" s="43">
        <v>0</v>
      </c>
      <c r="Q135" s="43">
        <v>0</v>
      </c>
      <c r="R135" s="43">
        <v>0</v>
      </c>
      <c r="S135" s="43">
        <v>1</v>
      </c>
      <c r="T135" s="46">
        <v>10576.31</v>
      </c>
      <c r="U135" s="46"/>
      <c r="V135" s="46"/>
      <c r="W135" s="46"/>
      <c r="X135" s="46"/>
      <c r="Y135" s="46"/>
      <c r="Z135" s="46">
        <f t="shared" si="35"/>
        <v>5288.155</v>
      </c>
      <c r="AA135" s="46">
        <f t="shared" si="36"/>
        <v>0</v>
      </c>
      <c r="AB135" s="46">
        <f t="shared" si="37"/>
        <v>0</v>
      </c>
      <c r="AC135" s="46">
        <f t="shared" si="38"/>
        <v>0</v>
      </c>
      <c r="AD135" s="46">
        <f t="shared" si="39"/>
        <v>1586.4464999999998</v>
      </c>
      <c r="AE135" s="46">
        <f t="shared" si="40"/>
        <v>0</v>
      </c>
      <c r="AF135" s="46">
        <f t="shared" si="41"/>
        <v>3701.7084999999997</v>
      </c>
      <c r="AG135" s="91">
        <v>13.5</v>
      </c>
      <c r="AH135" s="83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</row>
    <row r="136" spans="1:34" ht="22.5" customHeight="1">
      <c r="A136" s="3">
        <v>67</v>
      </c>
      <c r="B136" s="42">
        <v>19</v>
      </c>
      <c r="C136" s="54">
        <v>15772</v>
      </c>
      <c r="D136" s="43" t="s">
        <v>26</v>
      </c>
      <c r="E136" s="44">
        <v>3</v>
      </c>
      <c r="F136" s="59">
        <v>43371</v>
      </c>
      <c r="G136" s="44">
        <v>1</v>
      </c>
      <c r="H136" s="44">
        <v>1</v>
      </c>
      <c r="I136" s="44">
        <v>1</v>
      </c>
      <c r="J136" s="44">
        <v>1</v>
      </c>
      <c r="K136" s="44">
        <v>0</v>
      </c>
      <c r="L136" s="44">
        <v>4</v>
      </c>
      <c r="M136" s="44">
        <v>1</v>
      </c>
      <c r="N136" s="44">
        <v>1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6">
        <f>4563+3961.44</f>
        <v>8524.44</v>
      </c>
      <c r="U136" s="46"/>
      <c r="V136" s="46"/>
      <c r="W136" s="46"/>
      <c r="X136" s="46"/>
      <c r="Y136" s="46"/>
      <c r="Z136" s="46">
        <f t="shared" si="35"/>
        <v>1065.555</v>
      </c>
      <c r="AA136" s="46">
        <f t="shared" si="36"/>
        <v>0</v>
      </c>
      <c r="AB136" s="46">
        <f t="shared" si="37"/>
        <v>0</v>
      </c>
      <c r="AC136" s="46">
        <f t="shared" si="38"/>
        <v>0</v>
      </c>
      <c r="AD136" s="46">
        <f t="shared" si="39"/>
        <v>0</v>
      </c>
      <c r="AE136" s="46">
        <f t="shared" si="40"/>
        <v>319.6665</v>
      </c>
      <c r="AF136" s="46">
        <f t="shared" si="41"/>
        <v>745.8885</v>
      </c>
      <c r="AG136" s="92">
        <v>14</v>
      </c>
      <c r="AH136" s="66"/>
    </row>
    <row r="137" spans="1:92" s="24" customFormat="1" ht="18">
      <c r="A137" s="22"/>
      <c r="B137" s="42">
        <v>20</v>
      </c>
      <c r="C137" s="54">
        <v>15181</v>
      </c>
      <c r="D137" s="43" t="s">
        <v>24</v>
      </c>
      <c r="E137" s="43">
        <v>9</v>
      </c>
      <c r="F137" s="56">
        <v>43370</v>
      </c>
      <c r="G137" s="44">
        <v>1</v>
      </c>
      <c r="H137" s="43">
        <v>1</v>
      </c>
      <c r="I137" s="43">
        <v>0</v>
      </c>
      <c r="J137" s="43">
        <v>1</v>
      </c>
      <c r="K137" s="44">
        <v>0</v>
      </c>
      <c r="L137" s="44">
        <v>5</v>
      </c>
      <c r="M137" s="43">
        <v>1</v>
      </c>
      <c r="N137" s="43">
        <v>1</v>
      </c>
      <c r="O137" s="43">
        <v>0</v>
      </c>
      <c r="P137" s="43">
        <v>0</v>
      </c>
      <c r="Q137" s="43">
        <v>1</v>
      </c>
      <c r="R137" s="43">
        <v>0</v>
      </c>
      <c r="S137" s="43">
        <v>0</v>
      </c>
      <c r="T137" s="58">
        <f>19285.76+3907.48</f>
        <v>23193.239999999998</v>
      </c>
      <c r="U137" s="58"/>
      <c r="V137" s="58"/>
      <c r="W137" s="58"/>
      <c r="X137" s="58"/>
      <c r="Y137" s="58"/>
      <c r="Z137" s="46">
        <f t="shared" si="35"/>
        <v>2319.3239999999996</v>
      </c>
      <c r="AA137" s="46">
        <f t="shared" si="36"/>
        <v>0</v>
      </c>
      <c r="AB137" s="46">
        <f t="shared" si="37"/>
        <v>0</v>
      </c>
      <c r="AC137" s="46">
        <f t="shared" si="38"/>
        <v>0</v>
      </c>
      <c r="AD137" s="46">
        <f t="shared" si="39"/>
        <v>0</v>
      </c>
      <c r="AE137" s="46">
        <f t="shared" si="40"/>
        <v>0</v>
      </c>
      <c r="AF137" s="46">
        <f t="shared" si="41"/>
        <v>2319.3239999999996</v>
      </c>
      <c r="AG137" s="92">
        <v>14</v>
      </c>
      <c r="AH137" s="66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</row>
    <row r="138" spans="1:92" s="24" customFormat="1" ht="22.5" customHeight="1">
      <c r="A138" s="22"/>
      <c r="B138" s="42">
        <v>21</v>
      </c>
      <c r="C138" s="54">
        <v>15846</v>
      </c>
      <c r="D138" s="43" t="s">
        <v>26</v>
      </c>
      <c r="E138" s="43">
        <v>3</v>
      </c>
      <c r="F138" s="56">
        <v>43369</v>
      </c>
      <c r="G138" s="44">
        <v>1</v>
      </c>
      <c r="H138" s="43">
        <v>1</v>
      </c>
      <c r="I138" s="43">
        <v>0</v>
      </c>
      <c r="J138" s="43">
        <v>1</v>
      </c>
      <c r="K138" s="44">
        <v>0</v>
      </c>
      <c r="L138" s="44">
        <v>6</v>
      </c>
      <c r="M138" s="43">
        <v>1</v>
      </c>
      <c r="N138" s="43">
        <v>1</v>
      </c>
      <c r="O138" s="43">
        <v>1</v>
      </c>
      <c r="P138" s="43">
        <v>1</v>
      </c>
      <c r="Q138" s="43">
        <v>0</v>
      </c>
      <c r="R138" s="43">
        <v>0</v>
      </c>
      <c r="S138" s="43">
        <v>0</v>
      </c>
      <c r="T138" s="58"/>
      <c r="U138" s="58"/>
      <c r="V138" s="58">
        <f>6025+2500</f>
        <v>8525</v>
      </c>
      <c r="W138" s="58"/>
      <c r="X138" s="58"/>
      <c r="Y138" s="58"/>
      <c r="Z138" s="46">
        <f t="shared" si="35"/>
        <v>1420.8333333333333</v>
      </c>
      <c r="AA138" s="46">
        <f t="shared" si="36"/>
        <v>426.24999999999994</v>
      </c>
      <c r="AB138" s="46">
        <f t="shared" si="37"/>
        <v>0</v>
      </c>
      <c r="AC138" s="46">
        <f t="shared" si="38"/>
        <v>0</v>
      </c>
      <c r="AD138" s="46">
        <f t="shared" si="39"/>
        <v>0</v>
      </c>
      <c r="AE138" s="46">
        <f t="shared" si="40"/>
        <v>0</v>
      </c>
      <c r="AF138" s="46">
        <f t="shared" si="41"/>
        <v>994.5833333333333</v>
      </c>
      <c r="AG138" s="92">
        <v>15</v>
      </c>
      <c r="AH138" s="66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</row>
    <row r="139" spans="1:92" s="21" customFormat="1" ht="22.5" customHeight="1">
      <c r="A139" s="19"/>
      <c r="B139" s="57">
        <v>22</v>
      </c>
      <c r="C139" s="54">
        <v>15347</v>
      </c>
      <c r="D139" s="43" t="s">
        <v>24</v>
      </c>
      <c r="E139" s="43">
        <v>7</v>
      </c>
      <c r="F139" s="56">
        <v>43354</v>
      </c>
      <c r="G139" s="43">
        <v>1</v>
      </c>
      <c r="H139" s="43">
        <v>1</v>
      </c>
      <c r="I139" s="43">
        <v>0</v>
      </c>
      <c r="J139" s="43">
        <v>1</v>
      </c>
      <c r="K139" s="44">
        <v>0</v>
      </c>
      <c r="L139" s="44">
        <v>6</v>
      </c>
      <c r="M139" s="44">
        <v>1</v>
      </c>
      <c r="N139" s="43">
        <v>1</v>
      </c>
      <c r="O139" s="43">
        <v>1</v>
      </c>
      <c r="P139" s="43">
        <v>1</v>
      </c>
      <c r="Q139" s="43">
        <v>0</v>
      </c>
      <c r="R139" s="43">
        <v>0</v>
      </c>
      <c r="S139" s="43">
        <v>0</v>
      </c>
      <c r="T139" s="46">
        <f>16526.89+7052.26</f>
        <v>23579.15</v>
      </c>
      <c r="U139" s="46"/>
      <c r="V139" s="46"/>
      <c r="W139" s="46"/>
      <c r="X139" s="46"/>
      <c r="Y139" s="46"/>
      <c r="Z139" s="46">
        <f t="shared" si="35"/>
        <v>1964.9291666666668</v>
      </c>
      <c r="AA139" s="46">
        <f t="shared" si="36"/>
        <v>589.47875</v>
      </c>
      <c r="AB139" s="46">
        <f t="shared" si="37"/>
        <v>0</v>
      </c>
      <c r="AC139" s="46">
        <f t="shared" si="38"/>
        <v>0</v>
      </c>
      <c r="AD139" s="46">
        <f t="shared" si="39"/>
        <v>0</v>
      </c>
      <c r="AE139" s="46">
        <f t="shared" si="40"/>
        <v>0</v>
      </c>
      <c r="AF139" s="46">
        <f t="shared" si="41"/>
        <v>1375.4504166666668</v>
      </c>
      <c r="AG139" s="92">
        <v>16</v>
      </c>
      <c r="AH139" s="66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</row>
    <row r="140" spans="1:34" ht="22.5" customHeight="1">
      <c r="A140" s="3"/>
      <c r="B140" s="42">
        <v>23</v>
      </c>
      <c r="C140" s="54">
        <v>15849</v>
      </c>
      <c r="D140" s="54" t="s">
        <v>24</v>
      </c>
      <c r="E140" s="44">
        <v>3</v>
      </c>
      <c r="F140" s="59">
        <v>43351</v>
      </c>
      <c r="G140" s="44">
        <v>1</v>
      </c>
      <c r="H140" s="44">
        <v>1</v>
      </c>
      <c r="I140" s="44">
        <v>0</v>
      </c>
      <c r="J140" s="44">
        <v>1</v>
      </c>
      <c r="K140" s="44">
        <v>0</v>
      </c>
      <c r="L140" s="44">
        <v>4</v>
      </c>
      <c r="M140" s="44">
        <v>1</v>
      </c>
      <c r="N140" s="44">
        <v>1</v>
      </c>
      <c r="O140" s="44">
        <v>0</v>
      </c>
      <c r="P140" s="44">
        <v>0</v>
      </c>
      <c r="Q140" s="44">
        <v>1</v>
      </c>
      <c r="R140" s="44">
        <v>0</v>
      </c>
      <c r="S140" s="44">
        <v>0</v>
      </c>
      <c r="T140" s="46"/>
      <c r="U140" s="46"/>
      <c r="V140" s="46">
        <f>3301.88+6015.77</f>
        <v>9317.650000000001</v>
      </c>
      <c r="W140" s="46"/>
      <c r="X140" s="46"/>
      <c r="Y140" s="46"/>
      <c r="Z140" s="46">
        <f t="shared" si="35"/>
        <v>2329.4125000000004</v>
      </c>
      <c r="AA140" s="46">
        <f t="shared" si="36"/>
        <v>0</v>
      </c>
      <c r="AB140" s="46">
        <f t="shared" si="37"/>
        <v>0</v>
      </c>
      <c r="AC140" s="46">
        <f t="shared" si="38"/>
        <v>0</v>
      </c>
      <c r="AD140" s="46">
        <f t="shared" si="39"/>
        <v>0</v>
      </c>
      <c r="AE140" s="46">
        <f t="shared" si="40"/>
        <v>0</v>
      </c>
      <c r="AF140" s="46">
        <f t="shared" si="41"/>
        <v>2329.4125000000004</v>
      </c>
      <c r="AG140" s="92">
        <v>18</v>
      </c>
      <c r="AH140" s="66"/>
    </row>
    <row r="141" spans="1:92" s="31" customFormat="1" ht="22.5" customHeight="1">
      <c r="A141" s="26"/>
      <c r="B141" s="42">
        <v>24</v>
      </c>
      <c r="C141" s="54">
        <v>15809</v>
      </c>
      <c r="D141" s="43" t="s">
        <v>24</v>
      </c>
      <c r="E141" s="43">
        <v>3</v>
      </c>
      <c r="F141" s="56">
        <v>43381</v>
      </c>
      <c r="G141" s="44">
        <v>1</v>
      </c>
      <c r="H141" s="43">
        <v>1</v>
      </c>
      <c r="I141" s="43">
        <v>0</v>
      </c>
      <c r="J141" s="43">
        <v>1</v>
      </c>
      <c r="K141" s="44">
        <v>0</v>
      </c>
      <c r="L141" s="44">
        <v>2</v>
      </c>
      <c r="M141" s="43">
        <v>1</v>
      </c>
      <c r="N141" s="43">
        <v>1</v>
      </c>
      <c r="O141" s="43">
        <v>0</v>
      </c>
      <c r="P141" s="43">
        <v>0</v>
      </c>
      <c r="Q141" s="43">
        <v>0</v>
      </c>
      <c r="R141" s="43">
        <v>1</v>
      </c>
      <c r="S141" s="43">
        <v>0</v>
      </c>
      <c r="T141" s="58">
        <v>9809.38</v>
      </c>
      <c r="U141" s="58"/>
      <c r="V141" s="58"/>
      <c r="W141" s="58"/>
      <c r="X141" s="58"/>
      <c r="Y141" s="58"/>
      <c r="Z141" s="46">
        <f t="shared" si="35"/>
        <v>2452.345</v>
      </c>
      <c r="AA141" s="46">
        <f t="shared" si="36"/>
        <v>0</v>
      </c>
      <c r="AB141" s="46">
        <f t="shared" si="37"/>
        <v>0</v>
      </c>
      <c r="AC141" s="46">
        <f t="shared" si="38"/>
        <v>245.2345</v>
      </c>
      <c r="AD141" s="46">
        <f t="shared" si="39"/>
        <v>0</v>
      </c>
      <c r="AE141" s="46">
        <f t="shared" si="40"/>
        <v>0</v>
      </c>
      <c r="AF141" s="46">
        <f t="shared" si="41"/>
        <v>2207.1105</v>
      </c>
      <c r="AG141" s="92">
        <v>18</v>
      </c>
      <c r="AH141" s="100" t="s">
        <v>28</v>
      </c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</row>
    <row r="142" spans="1:92" s="21" customFormat="1" ht="22.5" customHeight="1">
      <c r="A142" s="19">
        <v>95</v>
      </c>
      <c r="B142" s="57">
        <v>25</v>
      </c>
      <c r="C142" s="54">
        <v>15521</v>
      </c>
      <c r="D142" s="43" t="s">
        <v>26</v>
      </c>
      <c r="E142" s="43">
        <v>7</v>
      </c>
      <c r="F142" s="56">
        <v>43367</v>
      </c>
      <c r="G142" s="43">
        <v>1</v>
      </c>
      <c r="H142" s="43">
        <v>1</v>
      </c>
      <c r="I142" s="43">
        <v>0</v>
      </c>
      <c r="J142" s="43">
        <v>1</v>
      </c>
      <c r="K142" s="44">
        <v>0</v>
      </c>
      <c r="L142" s="44">
        <v>3</v>
      </c>
      <c r="M142" s="44">
        <v>1</v>
      </c>
      <c r="N142" s="43">
        <v>1</v>
      </c>
      <c r="O142" s="43">
        <v>0</v>
      </c>
      <c r="P142" s="43">
        <v>0</v>
      </c>
      <c r="Q142" s="43">
        <v>0</v>
      </c>
      <c r="R142" s="43">
        <v>1</v>
      </c>
      <c r="S142" s="43">
        <v>0</v>
      </c>
      <c r="T142" s="46">
        <v>1844.69</v>
      </c>
      <c r="U142" s="46"/>
      <c r="V142" s="46">
        <f>4840-T142</f>
        <v>2995.31</v>
      </c>
      <c r="W142" s="46"/>
      <c r="X142" s="46"/>
      <c r="Y142" s="46"/>
      <c r="Z142" s="46">
        <f t="shared" si="35"/>
        <v>1305.885</v>
      </c>
      <c r="AA142" s="46">
        <f t="shared" si="36"/>
        <v>0</v>
      </c>
      <c r="AB142" s="46">
        <f t="shared" si="37"/>
        <v>0</v>
      </c>
      <c r="AC142" s="46">
        <f t="shared" si="38"/>
        <v>130.5885</v>
      </c>
      <c r="AD142" s="46">
        <f t="shared" si="39"/>
        <v>0</v>
      </c>
      <c r="AE142" s="46">
        <f t="shared" si="40"/>
        <v>0</v>
      </c>
      <c r="AF142" s="46">
        <f t="shared" si="41"/>
        <v>1175.2965</v>
      </c>
      <c r="AG142" s="91">
        <v>19</v>
      </c>
      <c r="AH142" s="76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</row>
    <row r="144" spans="2:34" ht="18">
      <c r="B144" s="53"/>
      <c r="C144" s="43"/>
      <c r="D144" s="54"/>
      <c r="E144" s="54"/>
      <c r="F144" s="54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4"/>
      <c r="AH144" s="78"/>
    </row>
    <row r="145" spans="2:33" ht="23.25">
      <c r="B145" s="102" t="s">
        <v>33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</row>
    <row r="146" spans="1:92" s="37" customFormat="1" ht="18">
      <c r="A146" s="35">
        <v>12</v>
      </c>
      <c r="B146" s="42">
        <v>1</v>
      </c>
      <c r="C146" s="54">
        <v>15035</v>
      </c>
      <c r="D146" s="43" t="s">
        <v>24</v>
      </c>
      <c r="E146" s="91">
        <v>11</v>
      </c>
      <c r="F146" s="56">
        <v>43370</v>
      </c>
      <c r="G146" s="44">
        <v>1</v>
      </c>
      <c r="H146" s="43">
        <v>1</v>
      </c>
      <c r="I146" s="43">
        <v>1</v>
      </c>
      <c r="J146" s="43">
        <v>1</v>
      </c>
      <c r="K146" s="44">
        <v>0</v>
      </c>
      <c r="L146" s="44">
        <v>3</v>
      </c>
      <c r="M146" s="43">
        <v>1</v>
      </c>
      <c r="N146" s="43">
        <v>1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58">
        <v>726.9</v>
      </c>
      <c r="U146" s="58"/>
      <c r="V146" s="58">
        <v>21001.69</v>
      </c>
      <c r="W146" s="58"/>
      <c r="X146" s="58"/>
      <c r="Y146" s="58"/>
      <c r="Z146" s="46">
        <f>((T146*50%+U146*85%+V146)/L146)+W146</f>
        <v>7121.713333333333</v>
      </c>
      <c r="AA146" s="46">
        <f>IF(O146=1,Z146*30%,0)</f>
        <v>0</v>
      </c>
      <c r="AB146" s="46">
        <f>IF(K146=1,Z146*20%,0)</f>
        <v>0</v>
      </c>
      <c r="AC146" s="46">
        <f>IF(R146=1,Z146*10%,0)</f>
        <v>0</v>
      </c>
      <c r="AD146" s="46">
        <f>IF(S146=1,Z146*30%,0)</f>
        <v>0</v>
      </c>
      <c r="AE146" s="46">
        <f>IF(I146=1,Z146*30%,0)</f>
        <v>2136.5139999999997</v>
      </c>
      <c r="AF146" s="46">
        <f>Z146-AA146-AB146-AC146-AD146-AE146</f>
        <v>4985.199333333334</v>
      </c>
      <c r="AG146" s="43">
        <v>43</v>
      </c>
      <c r="AH146" s="6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</row>
    <row r="147" spans="1:92" s="37" customFormat="1" ht="18">
      <c r="A147" s="35">
        <v>216</v>
      </c>
      <c r="B147" s="57">
        <v>2</v>
      </c>
      <c r="C147" s="54">
        <v>15016</v>
      </c>
      <c r="D147" s="43" t="s">
        <v>24</v>
      </c>
      <c r="E147" s="91">
        <v>11</v>
      </c>
      <c r="F147" s="56">
        <v>43364</v>
      </c>
      <c r="G147" s="43">
        <v>1</v>
      </c>
      <c r="H147" s="43">
        <v>1</v>
      </c>
      <c r="I147" s="43">
        <v>0</v>
      </c>
      <c r="J147" s="43">
        <v>1</v>
      </c>
      <c r="K147" s="43">
        <v>0</v>
      </c>
      <c r="L147" s="43">
        <v>4</v>
      </c>
      <c r="M147" s="43">
        <v>1</v>
      </c>
      <c r="N147" s="43">
        <v>1</v>
      </c>
      <c r="O147" s="43">
        <v>1</v>
      </c>
      <c r="P147" s="43">
        <v>0</v>
      </c>
      <c r="Q147" s="43">
        <v>0</v>
      </c>
      <c r="R147" s="43">
        <v>0</v>
      </c>
      <c r="S147" s="43">
        <v>0</v>
      </c>
      <c r="T147" s="65">
        <v>10000</v>
      </c>
      <c r="U147" s="65"/>
      <c r="V147" s="65">
        <v>7534</v>
      </c>
      <c r="W147" s="65"/>
      <c r="X147" s="65"/>
      <c r="Y147" s="65"/>
      <c r="Z147" s="46">
        <f>((T147*50%+U147*85%+V147)/L147)+W147</f>
        <v>3133.5</v>
      </c>
      <c r="AA147" s="46">
        <f>IF(O147=1,Z147*30%,0)</f>
        <v>940.05</v>
      </c>
      <c r="AB147" s="46">
        <f>IF(K147=1,Z147*20%,0)</f>
        <v>0</v>
      </c>
      <c r="AC147" s="46">
        <f>IF(R147=1,Z147*10%,0)</f>
        <v>0</v>
      </c>
      <c r="AD147" s="46">
        <f>IF(S147=1,Z147*30%,0)</f>
        <v>0</v>
      </c>
      <c r="AE147" s="46">
        <f>IF(I147=1,Z147*30%,0)</f>
        <v>0</v>
      </c>
      <c r="AF147" s="46">
        <f>Z147-AA147-AB147-AC147-AD147-AE147</f>
        <v>2193.45</v>
      </c>
      <c r="AG147" s="44">
        <v>53</v>
      </c>
      <c r="AH147" s="6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</row>
    <row r="148" spans="1:92" s="37" customFormat="1" ht="24.75">
      <c r="A148" s="35">
        <v>43</v>
      </c>
      <c r="B148" s="60">
        <v>3</v>
      </c>
      <c r="C148" s="54">
        <v>15204</v>
      </c>
      <c r="D148" s="43" t="s">
        <v>26</v>
      </c>
      <c r="E148" s="43">
        <v>9</v>
      </c>
      <c r="F148" s="56">
        <v>43351</v>
      </c>
      <c r="G148" s="61"/>
      <c r="H148" s="54"/>
      <c r="I148" s="54"/>
      <c r="J148" s="54"/>
      <c r="K148" s="61"/>
      <c r="L148" s="61"/>
      <c r="M148" s="54"/>
      <c r="N148" s="54"/>
      <c r="O148" s="54"/>
      <c r="P148" s="54"/>
      <c r="Q148" s="54"/>
      <c r="R148" s="54"/>
      <c r="S148" s="54"/>
      <c r="T148" s="63"/>
      <c r="U148" s="63"/>
      <c r="V148" s="63"/>
      <c r="W148" s="63"/>
      <c r="X148" s="63"/>
      <c r="Y148" s="63"/>
      <c r="Z148" s="62"/>
      <c r="AA148" s="62"/>
      <c r="AB148" s="62"/>
      <c r="AC148" s="62"/>
      <c r="AD148" s="62"/>
      <c r="AE148" s="62"/>
      <c r="AF148" s="62"/>
      <c r="AG148" s="72"/>
      <c r="AH148" s="93" t="s">
        <v>34</v>
      </c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</row>
    <row r="149" spans="1:34" ht="24.75">
      <c r="A149" s="3">
        <v>4</v>
      </c>
      <c r="B149" s="60">
        <v>4</v>
      </c>
      <c r="C149" s="54">
        <v>15237</v>
      </c>
      <c r="D149" s="54" t="s">
        <v>24</v>
      </c>
      <c r="E149" s="61">
        <v>9</v>
      </c>
      <c r="F149" s="70">
        <v>43344</v>
      </c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54"/>
      <c r="AH149" s="93" t="s">
        <v>34</v>
      </c>
    </row>
    <row r="150" spans="1:34" ht="22.5" customHeight="1">
      <c r="A150" s="94"/>
      <c r="B150" s="60"/>
      <c r="C150" s="95"/>
      <c r="D150" s="95"/>
      <c r="E150" s="96"/>
      <c r="F150" s="97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5"/>
      <c r="AH150" s="99"/>
    </row>
    <row r="151" spans="2:33" ht="23.25">
      <c r="B151" s="102" t="s">
        <v>32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</row>
    <row r="152" spans="1:92" s="37" customFormat="1" ht="22.5" customHeight="1">
      <c r="A152" s="35">
        <v>137</v>
      </c>
      <c r="B152" s="60">
        <v>1</v>
      </c>
      <c r="C152" s="43">
        <v>2685</v>
      </c>
      <c r="D152" s="43" t="s">
        <v>25</v>
      </c>
      <c r="E152" s="43">
        <v>3</v>
      </c>
      <c r="F152" s="56">
        <v>43371</v>
      </c>
      <c r="G152" s="61">
        <v>1</v>
      </c>
      <c r="H152" s="54">
        <v>1</v>
      </c>
      <c r="I152" s="54">
        <v>0</v>
      </c>
      <c r="J152" s="54">
        <v>1</v>
      </c>
      <c r="K152" s="61">
        <v>0</v>
      </c>
      <c r="L152" s="61">
        <v>4</v>
      </c>
      <c r="M152" s="54">
        <v>1</v>
      </c>
      <c r="N152" s="54">
        <v>1</v>
      </c>
      <c r="O152" s="54">
        <v>1</v>
      </c>
      <c r="P152" s="54">
        <v>0</v>
      </c>
      <c r="Q152" s="54">
        <v>0</v>
      </c>
      <c r="R152" s="54">
        <v>0</v>
      </c>
      <c r="S152" s="54">
        <v>0</v>
      </c>
      <c r="T152" s="63">
        <f>19579.23+15842.07+1380.34</f>
        <v>36801.64</v>
      </c>
      <c r="U152" s="63"/>
      <c r="V152" s="63"/>
      <c r="W152" s="63"/>
      <c r="X152" s="63"/>
      <c r="Y152" s="63"/>
      <c r="Z152" s="62">
        <f>((T152*50%+U152*85%+V152)/L152)+W152</f>
        <v>4600.205</v>
      </c>
      <c r="AA152" s="62">
        <f>IF(O152=1,Z152*30%,0)</f>
        <v>1380.0615</v>
      </c>
      <c r="AB152" s="62">
        <f>IF(K152=1,Z152*20%,0)</f>
        <v>0</v>
      </c>
      <c r="AC152" s="62">
        <f>IF(R152=1,Z152*10%,0)</f>
        <v>0</v>
      </c>
      <c r="AD152" s="62">
        <f>IF(S152=1,Z152*30%,0)</f>
        <v>0</v>
      </c>
      <c r="AE152" s="62">
        <f>IF(I152=1,Z152*30%,0)</f>
        <v>0</v>
      </c>
      <c r="AF152" s="62">
        <f>Z152-AA152-AB152-AC152-AD152-AE152</f>
        <v>3220.1435</v>
      </c>
      <c r="AG152" s="87">
        <v>18</v>
      </c>
      <c r="AH152" s="86">
        <v>36801.64</v>
      </c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</row>
    <row r="153" spans="1:92" s="37" customFormat="1" ht="22.5" customHeight="1">
      <c r="A153" s="35">
        <v>25</v>
      </c>
      <c r="B153" s="57">
        <v>2</v>
      </c>
      <c r="C153" s="54">
        <v>15905</v>
      </c>
      <c r="D153" s="43" t="s">
        <v>24</v>
      </c>
      <c r="E153" s="43">
        <v>3</v>
      </c>
      <c r="F153" s="56">
        <v>43372</v>
      </c>
      <c r="G153" s="43">
        <v>1</v>
      </c>
      <c r="H153" s="43">
        <v>1</v>
      </c>
      <c r="I153" s="44">
        <v>0</v>
      </c>
      <c r="J153" s="43">
        <v>1</v>
      </c>
      <c r="K153" s="44">
        <v>0</v>
      </c>
      <c r="L153" s="44">
        <v>3</v>
      </c>
      <c r="M153" s="44">
        <v>1</v>
      </c>
      <c r="N153" s="43">
        <v>1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6">
        <f>22056.84+1570.57</f>
        <v>23627.41</v>
      </c>
      <c r="U153" s="46"/>
      <c r="V153" s="46">
        <f>22215.47+5680+5600-T153</f>
        <v>9868.060000000001</v>
      </c>
      <c r="W153" s="46"/>
      <c r="X153" s="46"/>
      <c r="Y153" s="46"/>
      <c r="Z153" s="46">
        <f>((T153*50%+U153*85%+V153)/L153)+W153</f>
        <v>7227.255</v>
      </c>
      <c r="AA153" s="46">
        <f>IF(O153=1,Z153*30%,0)</f>
        <v>0</v>
      </c>
      <c r="AB153" s="46">
        <f>IF(K153=1,Z153*20%,0)</f>
        <v>0</v>
      </c>
      <c r="AC153" s="46">
        <f>IF(R153=1,Z153*10%,0)</f>
        <v>0</v>
      </c>
      <c r="AD153" s="46">
        <f>IF(S153=1,Z153*30%,0)</f>
        <v>0</v>
      </c>
      <c r="AE153" s="46">
        <f>IF(I153=1,Z153*30%,0)</f>
        <v>0</v>
      </c>
      <c r="AF153" s="46">
        <f>Z153-AA153-AB153-AC153-AD153-AE153</f>
        <v>7227.255</v>
      </c>
      <c r="AG153" s="43">
        <v>40</v>
      </c>
      <c r="AH153" s="88">
        <v>33495.47</v>
      </c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</row>
    <row r="154" spans="1:92" s="37" customFormat="1" ht="22.5" customHeight="1">
      <c r="A154" s="35">
        <v>193</v>
      </c>
      <c r="B154" s="42">
        <v>3</v>
      </c>
      <c r="C154" s="54">
        <v>15915</v>
      </c>
      <c r="D154" s="43" t="s">
        <v>24</v>
      </c>
      <c r="E154" s="43">
        <v>3</v>
      </c>
      <c r="F154" s="56">
        <v>43371</v>
      </c>
      <c r="G154" s="44">
        <v>1</v>
      </c>
      <c r="H154" s="43">
        <v>1</v>
      </c>
      <c r="I154" s="43">
        <v>1</v>
      </c>
      <c r="J154" s="43">
        <v>1</v>
      </c>
      <c r="K154" s="44">
        <v>0</v>
      </c>
      <c r="L154" s="44">
        <v>4</v>
      </c>
      <c r="M154" s="43">
        <v>1</v>
      </c>
      <c r="N154" s="43">
        <v>1</v>
      </c>
      <c r="O154" s="43">
        <v>1</v>
      </c>
      <c r="P154" s="43">
        <v>0</v>
      </c>
      <c r="Q154" s="43">
        <v>0</v>
      </c>
      <c r="R154" s="43">
        <v>0</v>
      </c>
      <c r="S154" s="43">
        <v>0</v>
      </c>
      <c r="T154" s="58">
        <v>20000</v>
      </c>
      <c r="U154" s="58"/>
      <c r="V154" s="58">
        <f>44828.78+249.38-T154</f>
        <v>25078.159999999996</v>
      </c>
      <c r="W154" s="58"/>
      <c r="X154" s="58"/>
      <c r="Y154" s="58"/>
      <c r="Z154" s="46">
        <f>((T154*50%+U154*85%+V154)/L154)+W154</f>
        <v>8769.539999999999</v>
      </c>
      <c r="AA154" s="46">
        <f>IF(O154=1,Z154*30%,0)</f>
        <v>2630.8619999999996</v>
      </c>
      <c r="AB154" s="46">
        <f>IF(K154=1,Z154*20%,0)</f>
        <v>0</v>
      </c>
      <c r="AC154" s="46">
        <f>IF(R154=1,Z154*10%,0)</f>
        <v>0</v>
      </c>
      <c r="AD154" s="46">
        <f>IF(S154=1,Z154*30%,0)</f>
        <v>0</v>
      </c>
      <c r="AE154" s="46">
        <f>IF(I154=1,Z154*30%,0)</f>
        <v>2630.8619999999996</v>
      </c>
      <c r="AF154" s="46">
        <f>Z154-AA154-AB154-AC154-AD154-AE154</f>
        <v>3507.8160000000003</v>
      </c>
      <c r="AG154" s="43">
        <v>28</v>
      </c>
      <c r="AH154" s="88">
        <v>45078.16</v>
      </c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</row>
    <row r="155" spans="1:92" s="40" customFormat="1" ht="22.5" customHeight="1">
      <c r="A155" s="38"/>
      <c r="B155" s="42">
        <v>4</v>
      </c>
      <c r="C155" s="54">
        <v>15328</v>
      </c>
      <c r="D155" s="43" t="s">
        <v>24</v>
      </c>
      <c r="E155" s="44">
        <v>7</v>
      </c>
      <c r="F155" s="59">
        <v>43370</v>
      </c>
      <c r="G155" s="44">
        <v>1</v>
      </c>
      <c r="H155" s="44">
        <v>1</v>
      </c>
      <c r="I155" s="44">
        <v>0</v>
      </c>
      <c r="J155" s="44">
        <v>1</v>
      </c>
      <c r="K155" s="44">
        <v>0</v>
      </c>
      <c r="L155" s="44">
        <v>5</v>
      </c>
      <c r="M155" s="44">
        <v>1</v>
      </c>
      <c r="N155" s="44">
        <v>1</v>
      </c>
      <c r="O155" s="44">
        <v>0</v>
      </c>
      <c r="P155" s="44">
        <v>1</v>
      </c>
      <c r="Q155" s="44">
        <v>0</v>
      </c>
      <c r="R155" s="44">
        <v>0</v>
      </c>
      <c r="S155" s="44">
        <v>0</v>
      </c>
      <c r="T155" s="46">
        <f>16078.39+20059.35</f>
        <v>36137.74</v>
      </c>
      <c r="U155" s="46"/>
      <c r="V155" s="46">
        <f>2850+31.1+6.22</f>
        <v>2887.3199999999997</v>
      </c>
      <c r="W155" s="46"/>
      <c r="X155" s="46"/>
      <c r="Y155" s="46"/>
      <c r="Z155" s="46">
        <f>((T155*50%+U155*85%+V155)/L155)+W155</f>
        <v>4191.237999999999</v>
      </c>
      <c r="AA155" s="46">
        <f>IF(O155=1,Z155*30%,0)</f>
        <v>0</v>
      </c>
      <c r="AB155" s="46">
        <f>IF(K155=1,Z155*20%,0)</f>
        <v>0</v>
      </c>
      <c r="AC155" s="46">
        <f>IF(R155=1,Z155*10%,0)</f>
        <v>0</v>
      </c>
      <c r="AD155" s="46">
        <f>IF(S155=1,Z155*30%,0)</f>
        <v>0</v>
      </c>
      <c r="AE155" s="46">
        <f>IF(I155=1,Z155*30%,0)</f>
        <v>0</v>
      </c>
      <c r="AF155" s="46">
        <f>Z155-AA155-AB155-AC155-AD155-AE155</f>
        <v>4191.237999999999</v>
      </c>
      <c r="AG155" s="44">
        <v>60</v>
      </c>
      <c r="AH155" s="89">
        <v>39025.06</v>
      </c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</row>
    <row r="156" spans="2:34" ht="18">
      <c r="B156" s="53"/>
      <c r="C156" s="43"/>
      <c r="D156" s="54"/>
      <c r="E156" s="54"/>
      <c r="F156" s="54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4"/>
      <c r="AH156" s="78"/>
    </row>
    <row r="157" spans="2:34" ht="18">
      <c r="B157" s="53"/>
      <c r="C157" s="43"/>
      <c r="D157" s="54"/>
      <c r="E157" s="54"/>
      <c r="F157" s="54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4"/>
      <c r="AH157" s="78"/>
    </row>
    <row r="158" spans="2:34" ht="18">
      <c r="B158" s="15"/>
      <c r="C158" s="71"/>
      <c r="D158" s="13"/>
      <c r="E158" s="13"/>
      <c r="F158" s="13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3"/>
      <c r="AH158" s="82"/>
    </row>
    <row r="159" spans="2:34" ht="18">
      <c r="B159" s="15"/>
      <c r="C159" s="71"/>
      <c r="D159" s="13"/>
      <c r="E159" s="13"/>
      <c r="F159" s="13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3"/>
      <c r="AH159" s="82"/>
    </row>
    <row r="160" spans="2:34" ht="18">
      <c r="B160" s="15"/>
      <c r="C160" s="71"/>
      <c r="D160" s="13"/>
      <c r="E160" s="13"/>
      <c r="F160" s="13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3"/>
      <c r="AH160" s="82"/>
    </row>
    <row r="161" spans="2:34" ht="18">
      <c r="B161" s="15"/>
      <c r="C161" s="71"/>
      <c r="D161" s="13"/>
      <c r="E161" s="13"/>
      <c r="F161" s="13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3"/>
      <c r="AH161" s="82"/>
    </row>
    <row r="162" spans="2:34" ht="18">
      <c r="B162" s="15"/>
      <c r="C162" s="71"/>
      <c r="D162" s="13"/>
      <c r="E162" s="13"/>
      <c r="F162" s="13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3"/>
      <c r="AH162" s="82"/>
    </row>
    <row r="163" spans="2:34" ht="18">
      <c r="B163" s="15"/>
      <c r="C163" s="71"/>
      <c r="D163" s="13"/>
      <c r="E163" s="13"/>
      <c r="F163" s="13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3"/>
      <c r="AH163" s="82"/>
    </row>
    <row r="164" spans="2:34" ht="18">
      <c r="B164" s="15"/>
      <c r="C164" s="71"/>
      <c r="D164" s="13"/>
      <c r="E164" s="13"/>
      <c r="F164" s="13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3"/>
      <c r="AH164" s="82"/>
    </row>
    <row r="165" spans="2:34" ht="18">
      <c r="B165" s="15"/>
      <c r="C165" s="71"/>
      <c r="D165" s="13"/>
      <c r="E165" s="13"/>
      <c r="F165" s="13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3"/>
      <c r="AH165" s="82"/>
    </row>
    <row r="166" spans="2:34" ht="18">
      <c r="B166" s="15"/>
      <c r="C166" s="71"/>
      <c r="D166" s="13"/>
      <c r="E166" s="13"/>
      <c r="F166" s="13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3"/>
      <c r="AH166" s="82"/>
    </row>
    <row r="167" spans="2:34" ht="18">
      <c r="B167" s="15"/>
      <c r="C167" s="71"/>
      <c r="D167" s="13"/>
      <c r="E167" s="13"/>
      <c r="F167" s="13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3"/>
      <c r="AH167" s="82"/>
    </row>
    <row r="168" spans="2:34" ht="18">
      <c r="B168" s="15"/>
      <c r="C168" s="71"/>
      <c r="D168" s="13"/>
      <c r="E168" s="13"/>
      <c r="F168" s="13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3"/>
      <c r="AH168" s="82"/>
    </row>
    <row r="169" spans="2:34" ht="18">
      <c r="B169" s="15"/>
      <c r="C169" s="71"/>
      <c r="D169" s="13"/>
      <c r="E169" s="13"/>
      <c r="F169" s="13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3"/>
      <c r="AH169" s="82"/>
    </row>
    <row r="170" spans="2:34" ht="18">
      <c r="B170" s="15"/>
      <c r="C170" s="71"/>
      <c r="D170" s="13"/>
      <c r="E170" s="13"/>
      <c r="F170" s="13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3"/>
      <c r="AH170" s="82"/>
    </row>
    <row r="171" spans="2:34" ht="18">
      <c r="B171" s="15"/>
      <c r="C171" s="71"/>
      <c r="D171" s="13"/>
      <c r="E171" s="13"/>
      <c r="F171" s="13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3"/>
      <c r="AH171" s="82"/>
    </row>
    <row r="172" spans="2:34" ht="18">
      <c r="B172" s="15"/>
      <c r="C172" s="71"/>
      <c r="D172" s="13"/>
      <c r="E172" s="13"/>
      <c r="F172" s="13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3"/>
      <c r="AH172" s="82"/>
    </row>
    <row r="173" spans="2:34" ht="18">
      <c r="B173" s="15"/>
      <c r="C173" s="71"/>
      <c r="D173" s="13"/>
      <c r="E173" s="13"/>
      <c r="F173" s="13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3"/>
      <c r="AH173" s="82"/>
    </row>
    <row r="174" spans="2:34" ht="18">
      <c r="B174" s="15"/>
      <c r="C174" s="71"/>
      <c r="D174" s="13"/>
      <c r="E174" s="13"/>
      <c r="F174" s="13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3"/>
      <c r="AH174" s="82"/>
    </row>
    <row r="175" spans="2:34" ht="18">
      <c r="B175" s="15"/>
      <c r="C175" s="71"/>
      <c r="D175" s="13"/>
      <c r="E175" s="13"/>
      <c r="F175" s="13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3"/>
      <c r="AH175" s="82"/>
    </row>
    <row r="176" spans="2:34" ht="18">
      <c r="B176" s="15"/>
      <c r="C176" s="71"/>
      <c r="D176" s="13"/>
      <c r="E176" s="13"/>
      <c r="F176" s="13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3"/>
      <c r="AH176" s="82"/>
    </row>
    <row r="177" spans="2:34" ht="18">
      <c r="B177" s="15"/>
      <c r="C177" s="71"/>
      <c r="D177" s="13"/>
      <c r="E177" s="13"/>
      <c r="F177" s="13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3"/>
      <c r="AH177" s="82"/>
    </row>
    <row r="178" spans="2:34" ht="18">
      <c r="B178" s="15"/>
      <c r="C178" s="71"/>
      <c r="D178" s="13"/>
      <c r="E178" s="13"/>
      <c r="F178" s="13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3"/>
      <c r="AH178" s="82"/>
    </row>
    <row r="179" spans="2:34" ht="18">
      <c r="B179" s="15"/>
      <c r="C179" s="71"/>
      <c r="D179" s="13"/>
      <c r="E179" s="13"/>
      <c r="F179" s="13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3"/>
      <c r="AH179" s="82"/>
    </row>
    <row r="180" spans="2:34" ht="18">
      <c r="B180" s="15"/>
      <c r="C180" s="71"/>
      <c r="D180" s="13"/>
      <c r="E180" s="13"/>
      <c r="F180" s="13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3"/>
      <c r="AH180" s="82"/>
    </row>
    <row r="181" spans="2:34" ht="18">
      <c r="B181" s="15"/>
      <c r="C181" s="71"/>
      <c r="D181" s="13"/>
      <c r="E181" s="13"/>
      <c r="F181" s="13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3"/>
      <c r="AH181" s="82"/>
    </row>
    <row r="182" spans="2:34" ht="18">
      <c r="B182" s="15"/>
      <c r="C182" s="71"/>
      <c r="D182" s="13"/>
      <c r="E182" s="13"/>
      <c r="F182" s="13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3"/>
      <c r="AH182" s="82"/>
    </row>
    <row r="183" spans="2:34" ht="18">
      <c r="B183" s="15"/>
      <c r="C183" s="71"/>
      <c r="D183" s="13"/>
      <c r="E183" s="13"/>
      <c r="F183" s="13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3"/>
      <c r="AH183" s="82"/>
    </row>
    <row r="184" spans="2:34" ht="18">
      <c r="B184" s="15"/>
      <c r="C184" s="71"/>
      <c r="D184" s="13"/>
      <c r="E184" s="13"/>
      <c r="F184" s="13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3"/>
      <c r="AH184" s="82"/>
    </row>
    <row r="185" spans="2:34" ht="18">
      <c r="B185" s="15"/>
      <c r="C185" s="71"/>
      <c r="D185" s="13"/>
      <c r="E185" s="13"/>
      <c r="F185" s="13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3"/>
      <c r="AH185" s="82"/>
    </row>
    <row r="186" spans="2:34" ht="18">
      <c r="B186" s="15"/>
      <c r="C186" s="71"/>
      <c r="D186" s="13"/>
      <c r="E186" s="13"/>
      <c r="F186" s="13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3"/>
      <c r="AH186" s="82"/>
    </row>
    <row r="187" spans="2:34" ht="18">
      <c r="B187" s="15"/>
      <c r="C187" s="71"/>
      <c r="D187" s="13"/>
      <c r="E187" s="13"/>
      <c r="F187" s="13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3"/>
      <c r="AH187" s="82"/>
    </row>
    <row r="188" spans="2:34" ht="18">
      <c r="B188" s="15"/>
      <c r="C188" s="71"/>
      <c r="D188" s="13"/>
      <c r="E188" s="13"/>
      <c r="F188" s="13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3"/>
      <c r="AH188" s="82"/>
    </row>
    <row r="189" spans="2:34" ht="18">
      <c r="B189" s="15"/>
      <c r="C189" s="71"/>
      <c r="D189" s="13"/>
      <c r="E189" s="13"/>
      <c r="F189" s="13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3"/>
      <c r="AH189" s="82"/>
    </row>
    <row r="190" spans="2:34" ht="18">
      <c r="B190" s="15"/>
      <c r="C190" s="71"/>
      <c r="D190" s="13"/>
      <c r="E190" s="13"/>
      <c r="F190" s="13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3"/>
      <c r="AH190" s="82"/>
    </row>
    <row r="191" spans="2:34" ht="18">
      <c r="B191" s="15"/>
      <c r="C191" s="71"/>
      <c r="D191" s="13"/>
      <c r="E191" s="13"/>
      <c r="F191" s="13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3"/>
      <c r="AH191" s="82"/>
    </row>
    <row r="192" spans="2:34" ht="18">
      <c r="B192" s="15"/>
      <c r="C192" s="71"/>
      <c r="D192" s="13"/>
      <c r="E192" s="13"/>
      <c r="F192" s="13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3"/>
      <c r="AH192" s="82"/>
    </row>
    <row r="193" spans="2:34" ht="18">
      <c r="B193" s="15"/>
      <c r="C193" s="71"/>
      <c r="D193" s="13"/>
      <c r="E193" s="13"/>
      <c r="F193" s="13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3"/>
      <c r="AH193" s="82"/>
    </row>
    <row r="194" spans="2:34" ht="18">
      <c r="B194" s="15"/>
      <c r="C194" s="71"/>
      <c r="D194" s="13"/>
      <c r="E194" s="13"/>
      <c r="F194" s="13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3"/>
      <c r="AH194" s="82"/>
    </row>
    <row r="195" spans="2:34" ht="18">
      <c r="B195" s="15"/>
      <c r="C195" s="71"/>
      <c r="D195" s="13"/>
      <c r="E195" s="13"/>
      <c r="F195" s="13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3"/>
      <c r="AH195" s="82"/>
    </row>
    <row r="196" spans="2:34" ht="18">
      <c r="B196" s="15"/>
      <c r="C196" s="71"/>
      <c r="D196" s="13"/>
      <c r="E196" s="13"/>
      <c r="F196" s="13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3"/>
      <c r="AH196" s="82"/>
    </row>
    <row r="197" spans="2:34" ht="18">
      <c r="B197" s="15"/>
      <c r="C197" s="13"/>
      <c r="D197" s="13"/>
      <c r="E197" s="13"/>
      <c r="F197" s="13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3"/>
      <c r="AH197" s="82"/>
    </row>
    <row r="198" spans="2:34" ht="18">
      <c r="B198" s="15"/>
      <c r="C198" s="13"/>
      <c r="D198" s="13"/>
      <c r="E198" s="13"/>
      <c r="F198" s="13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3"/>
      <c r="AH198" s="82"/>
    </row>
    <row r="199" spans="2:34" ht="18">
      <c r="B199" s="15"/>
      <c r="C199" s="13"/>
      <c r="D199" s="13"/>
      <c r="E199" s="13"/>
      <c r="F199" s="13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3"/>
      <c r="AH199" s="82"/>
    </row>
    <row r="200" spans="2:34" ht="18">
      <c r="B200" s="15"/>
      <c r="C200" s="13"/>
      <c r="D200" s="13"/>
      <c r="E200" s="13"/>
      <c r="F200" s="13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3"/>
      <c r="AH200" s="82"/>
    </row>
    <row r="201" spans="2:34" ht="18">
      <c r="B201" s="15"/>
      <c r="C201" s="13"/>
      <c r="D201" s="13"/>
      <c r="E201" s="13"/>
      <c r="F201" s="13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3"/>
      <c r="AH201" s="82"/>
    </row>
    <row r="202" spans="2:34" ht="18">
      <c r="B202" s="15"/>
      <c r="C202" s="13"/>
      <c r="D202" s="13"/>
      <c r="E202" s="13"/>
      <c r="F202" s="13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3"/>
      <c r="AH202" s="82"/>
    </row>
    <row r="203" spans="2:34" ht="18">
      <c r="B203" s="15"/>
      <c r="C203" s="13"/>
      <c r="D203" s="13"/>
      <c r="E203" s="13"/>
      <c r="F203" s="13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3"/>
      <c r="AH203" s="82"/>
    </row>
    <row r="204" spans="2:34" ht="18">
      <c r="B204" s="15"/>
      <c r="C204" s="13"/>
      <c r="D204" s="13"/>
      <c r="E204" s="13"/>
      <c r="F204" s="13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3"/>
      <c r="AH204" s="82"/>
    </row>
    <row r="205" spans="2:34" ht="18">
      <c r="B205" s="15"/>
      <c r="C205" s="13"/>
      <c r="D205" s="13"/>
      <c r="E205" s="13"/>
      <c r="F205" s="13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3"/>
      <c r="AH205" s="82"/>
    </row>
    <row r="206" spans="7:34" ht="18"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H206" s="82"/>
    </row>
    <row r="207" spans="7:34" ht="18"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H207" s="82"/>
    </row>
    <row r="208" spans="7:34" ht="18"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H208" s="82"/>
    </row>
  </sheetData>
  <sheetProtection/>
  <autoFilter ref="A3:CN119"/>
  <mergeCells count="2">
    <mergeCell ref="B1:AH1"/>
    <mergeCell ref="B4:H4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300" verticalDpi="300" orientation="landscape" paperSize="9" scale="75" r:id="rId1"/>
  <headerFooter alignWithMargins="0">
    <oddHeader>&amp;LΤΜΗΜΑ ΣΠΟΥΔΑΣΤΙΚΗΣ ΜΕΡΙΜΝΑΣ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userx</cp:lastModifiedBy>
  <cp:lastPrinted>2013-07-23T08:25:36Z</cp:lastPrinted>
  <dcterms:created xsi:type="dcterms:W3CDTF">2007-10-03T16:28:55Z</dcterms:created>
  <dcterms:modified xsi:type="dcterms:W3CDTF">2018-10-22T11:29:50Z</dcterms:modified>
  <cp:category/>
  <cp:version/>
  <cp:contentType/>
  <cp:contentStatus/>
</cp:coreProperties>
</file>